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c\Downloads\"/>
    </mc:Choice>
  </mc:AlternateContent>
  <xr:revisionPtr revIDLastSave="0" documentId="13_ncr:1_{75067B26-B129-47F9-91B1-B1376902F089}" xr6:coauthVersionLast="47" xr6:coauthVersionMax="47" xr10:uidLastSave="{00000000-0000-0000-0000-000000000000}"/>
  <bookViews>
    <workbookView xWindow="-28920" yWindow="-6600" windowWidth="29040" windowHeight="17520" xr2:uid="{87176BBB-95F0-43EE-B4E7-E5CE289BA8FD}"/>
  </bookViews>
  <sheets>
    <sheet name="RESULTS_2022_2024" sheetId="10" r:id="rId1"/>
    <sheet name="FINPLAN_NEW" sheetId="1" r:id="rId2"/>
    <sheet name="FINPLAN_NEW (neg)" sheetId="14" r:id="rId3"/>
    <sheet name="Historical metrics" sheetId="11" r:id="rId4"/>
    <sheet name="Capacity planning" sheetId="12" r:id="rId5"/>
    <sheet name="Výnosy" sheetId="8" r:id="rId6"/>
    <sheet name="Přímé náklady" sheetId="9" r:id="rId7"/>
    <sheet name="Marketing" sheetId="13" r:id="rId8"/>
    <sheet name="PEREX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0" l="1"/>
  <c r="C32" i="10" s="1"/>
  <c r="C17" i="10"/>
  <c r="C12" i="10"/>
  <c r="C11" i="10"/>
  <c r="C10" i="10"/>
  <c r="C8" i="10"/>
  <c r="D22" i="10"/>
  <c r="D32" i="10" s="1"/>
  <c r="D17" i="10"/>
  <c r="D12" i="10"/>
  <c r="D11" i="10"/>
  <c r="D10" i="10"/>
  <c r="D8" i="10"/>
  <c r="C34" i="10" l="1"/>
  <c r="C35" i="10" s="1"/>
  <c r="D34" i="10"/>
  <c r="D35" i="10" s="1"/>
  <c r="C20" i="10"/>
  <c r="D20" i="10"/>
  <c r="D23" i="14"/>
  <c r="E23" i="14"/>
  <c r="F23" i="14"/>
  <c r="G23" i="14"/>
  <c r="H23" i="14"/>
  <c r="H22" i="14" s="1"/>
  <c r="I23" i="14"/>
  <c r="J23" i="14"/>
  <c r="K23" i="14"/>
  <c r="L23" i="14"/>
  <c r="M23" i="14"/>
  <c r="N23" i="14"/>
  <c r="C23" i="14"/>
  <c r="C22" i="14" s="1"/>
  <c r="D9" i="14"/>
  <c r="E9" i="14"/>
  <c r="F9" i="14"/>
  <c r="G9" i="14"/>
  <c r="H9" i="14"/>
  <c r="I9" i="14"/>
  <c r="J9" i="14"/>
  <c r="J12" i="14" s="1"/>
  <c r="K9" i="14"/>
  <c r="L9" i="14"/>
  <c r="M9" i="14"/>
  <c r="N9" i="14"/>
  <c r="C9" i="14"/>
  <c r="C11" i="14"/>
  <c r="D7" i="14"/>
  <c r="E7" i="14"/>
  <c r="O7" i="14" s="1"/>
  <c r="F7" i="14"/>
  <c r="G7" i="14"/>
  <c r="G12" i="14" s="1"/>
  <c r="H7" i="14"/>
  <c r="I7" i="14"/>
  <c r="J7" i="14"/>
  <c r="K7" i="14"/>
  <c r="K11" i="14" s="1"/>
  <c r="L7" i="14"/>
  <c r="M7" i="14"/>
  <c r="N7" i="14"/>
  <c r="C7" i="14"/>
  <c r="D5" i="14"/>
  <c r="E5" i="14"/>
  <c r="F5" i="14"/>
  <c r="G5" i="14"/>
  <c r="H5" i="14"/>
  <c r="I5" i="14"/>
  <c r="J5" i="14"/>
  <c r="J14" i="14" s="1"/>
  <c r="J15" i="14" s="1"/>
  <c r="K5" i="14"/>
  <c r="L5" i="14"/>
  <c r="M5" i="14"/>
  <c r="M11" i="14" s="1"/>
  <c r="N5" i="14"/>
  <c r="C5" i="14"/>
  <c r="O31" i="14"/>
  <c r="O30" i="14"/>
  <c r="I29" i="14"/>
  <c r="H29" i="14"/>
  <c r="O28" i="14"/>
  <c r="O27" i="14"/>
  <c r="G26" i="14"/>
  <c r="F26" i="14"/>
  <c r="E26" i="14"/>
  <c r="E22" i="14" s="1"/>
  <c r="E32" i="14" s="1"/>
  <c r="D26" i="14"/>
  <c r="D22" i="14" s="1"/>
  <c r="D32" i="14" s="1"/>
  <c r="C26" i="14"/>
  <c r="O26" i="14" s="1"/>
  <c r="O25" i="14"/>
  <c r="O24" i="14"/>
  <c r="F22" i="14"/>
  <c r="F32" i="14" s="1"/>
  <c r="G22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O18" i="14" s="1"/>
  <c r="G14" i="14"/>
  <c r="G15" i="14" s="1"/>
  <c r="D14" i="14"/>
  <c r="D15" i="14" s="1"/>
  <c r="C14" i="14"/>
  <c r="C15" i="14" s="1"/>
  <c r="K12" i="14"/>
  <c r="D12" i="14"/>
  <c r="I14" i="14"/>
  <c r="I15" i="14" s="1"/>
  <c r="F12" i="14"/>
  <c r="E14" i="14"/>
  <c r="E15" i="14" s="1"/>
  <c r="D8" i="11"/>
  <c r="N22" i="1"/>
  <c r="I29" i="1"/>
  <c r="J29" i="1"/>
  <c r="K29" i="1"/>
  <c r="L29" i="1" s="1"/>
  <c r="M29" i="1" s="1"/>
  <c r="N29" i="1" s="1"/>
  <c r="H29" i="1"/>
  <c r="D10" i="11"/>
  <c r="D4" i="11"/>
  <c r="O25" i="1"/>
  <c r="O26" i="1"/>
  <c r="D26" i="1"/>
  <c r="E26" i="1"/>
  <c r="F26" i="1"/>
  <c r="G26" i="1"/>
  <c r="C26" i="1"/>
  <c r="E23" i="10"/>
  <c r="J48" i="3"/>
  <c r="F67" i="9"/>
  <c r="G67" i="9"/>
  <c r="H67" i="9"/>
  <c r="I67" i="9"/>
  <c r="J67" i="9"/>
  <c r="K67" i="9"/>
  <c r="L67" i="9"/>
  <c r="M67" i="9"/>
  <c r="N67" i="9"/>
  <c r="O67" i="9"/>
  <c r="P67" i="9"/>
  <c r="Q67" i="9"/>
  <c r="F68" i="9"/>
  <c r="G68" i="9"/>
  <c r="H68" i="9"/>
  <c r="I68" i="9"/>
  <c r="J68" i="9"/>
  <c r="K68" i="9"/>
  <c r="L68" i="9"/>
  <c r="M68" i="9"/>
  <c r="N68" i="9"/>
  <c r="O68" i="9"/>
  <c r="P68" i="9"/>
  <c r="Q68" i="9"/>
  <c r="F69" i="9"/>
  <c r="G69" i="9"/>
  <c r="H69" i="9"/>
  <c r="I69" i="9"/>
  <c r="J69" i="9"/>
  <c r="K69" i="9"/>
  <c r="L69" i="9"/>
  <c r="M69" i="9"/>
  <c r="N69" i="9"/>
  <c r="O69" i="9"/>
  <c r="P69" i="9"/>
  <c r="Q69" i="9"/>
  <c r="E50" i="9"/>
  <c r="F50" i="9"/>
  <c r="G50" i="9"/>
  <c r="Q50" i="9" s="1"/>
  <c r="H50" i="9"/>
  <c r="I50" i="9"/>
  <c r="J50" i="9"/>
  <c r="K50" i="9"/>
  <c r="L50" i="9"/>
  <c r="M50" i="9"/>
  <c r="N50" i="9"/>
  <c r="O50" i="9"/>
  <c r="P50" i="9"/>
  <c r="E51" i="9"/>
  <c r="F51" i="9"/>
  <c r="Q51" i="9" s="1"/>
  <c r="G51" i="9"/>
  <c r="H51" i="9"/>
  <c r="I51" i="9"/>
  <c r="J51" i="9"/>
  <c r="K51" i="9"/>
  <c r="L51" i="9"/>
  <c r="M51" i="9"/>
  <c r="N51" i="9"/>
  <c r="O51" i="9"/>
  <c r="P51" i="9"/>
  <c r="AS31" i="8"/>
  <c r="AT31" i="8"/>
  <c r="AU31" i="8"/>
  <c r="AV31" i="8"/>
  <c r="AW31" i="8"/>
  <c r="AX31" i="8"/>
  <c r="AY31" i="8"/>
  <c r="AZ31" i="8"/>
  <c r="BA31" i="8"/>
  <c r="BB31" i="8"/>
  <c r="BC31" i="8"/>
  <c r="BE31" i="8" s="1"/>
  <c r="BD31" i="8"/>
  <c r="AS32" i="8"/>
  <c r="AT32" i="8"/>
  <c r="AU32" i="8"/>
  <c r="AV32" i="8"/>
  <c r="AW32" i="8"/>
  <c r="AX32" i="8"/>
  <c r="AY32" i="8"/>
  <c r="BE32" i="8" s="1"/>
  <c r="AZ32" i="8"/>
  <c r="BA32" i="8"/>
  <c r="BB32" i="8"/>
  <c r="BC32" i="8"/>
  <c r="BD32" i="8"/>
  <c r="AF31" i="8"/>
  <c r="AG31" i="8"/>
  <c r="AH31" i="8"/>
  <c r="AR31" i="8" s="1"/>
  <c r="AI31" i="8"/>
  <c r="AJ31" i="8"/>
  <c r="AK31" i="8"/>
  <c r="AL31" i="8"/>
  <c r="AM31" i="8"/>
  <c r="AN31" i="8"/>
  <c r="AO31" i="8"/>
  <c r="AP31" i="8"/>
  <c r="AQ31" i="8"/>
  <c r="AF32" i="8"/>
  <c r="AG32" i="8"/>
  <c r="AR32" i="8" s="1"/>
  <c r="AH32" i="8"/>
  <c r="AI32" i="8"/>
  <c r="AJ32" i="8"/>
  <c r="AK32" i="8"/>
  <c r="AL32" i="8"/>
  <c r="AM32" i="8"/>
  <c r="AN32" i="8"/>
  <c r="AO32" i="8"/>
  <c r="AP32" i="8"/>
  <c r="AQ32" i="8"/>
  <c r="N32" i="8"/>
  <c r="O32" i="8"/>
  <c r="P32" i="8" s="1"/>
  <c r="Q32" i="8" s="1"/>
  <c r="N31" i="8"/>
  <c r="O31" i="8" s="1"/>
  <c r="D32" i="8"/>
  <c r="D31" i="8"/>
  <c r="I34" i="8"/>
  <c r="I37" i="8" s="1"/>
  <c r="O28" i="3"/>
  <c r="P28" i="3" s="1"/>
  <c r="D13" i="13"/>
  <c r="E13" i="13"/>
  <c r="F13" i="13"/>
  <c r="G13" i="13"/>
  <c r="H13" i="13"/>
  <c r="I13" i="13"/>
  <c r="J13" i="13"/>
  <c r="N13" i="13"/>
  <c r="C13" i="13"/>
  <c r="D9" i="13"/>
  <c r="E9" i="13"/>
  <c r="F9" i="13"/>
  <c r="G9" i="13"/>
  <c r="H9" i="13"/>
  <c r="I9" i="13"/>
  <c r="J9" i="13"/>
  <c r="K9" i="13"/>
  <c r="L9" i="13"/>
  <c r="M9" i="13"/>
  <c r="N9" i="13"/>
  <c r="C9" i="13"/>
  <c r="D5" i="13"/>
  <c r="E5" i="13"/>
  <c r="F5" i="13"/>
  <c r="G5" i="13"/>
  <c r="H5" i="13"/>
  <c r="I5" i="13"/>
  <c r="J5" i="13"/>
  <c r="K5" i="13"/>
  <c r="K13" i="13" s="1"/>
  <c r="L5" i="13"/>
  <c r="L13" i="13" s="1"/>
  <c r="M5" i="13"/>
  <c r="M13" i="13" s="1"/>
  <c r="N5" i="13"/>
  <c r="C5" i="13"/>
  <c r="L11" i="14" l="1"/>
  <c r="L12" i="14"/>
  <c r="C12" i="14"/>
  <c r="H12" i="14"/>
  <c r="N12" i="14"/>
  <c r="N14" i="14"/>
  <c r="N15" i="14" s="1"/>
  <c r="M14" i="14"/>
  <c r="M15" i="14" s="1"/>
  <c r="G11" i="14"/>
  <c r="G32" i="14"/>
  <c r="H32" i="14"/>
  <c r="C32" i="14"/>
  <c r="O23" i="14"/>
  <c r="O9" i="14"/>
  <c r="K14" i="14"/>
  <c r="K15" i="14" s="1"/>
  <c r="J29" i="14"/>
  <c r="N11" i="14"/>
  <c r="M12" i="14"/>
  <c r="L14" i="14"/>
  <c r="L15" i="14" s="1"/>
  <c r="D11" i="14"/>
  <c r="E11" i="14"/>
  <c r="H11" i="14"/>
  <c r="F14" i="14"/>
  <c r="F15" i="14" s="1"/>
  <c r="O15" i="14" s="1"/>
  <c r="I22" i="14"/>
  <c r="I32" i="14" s="1"/>
  <c r="F11" i="14"/>
  <c r="E12" i="14"/>
  <c r="O5" i="14"/>
  <c r="J11" i="14"/>
  <c r="I12" i="14"/>
  <c r="H14" i="14"/>
  <c r="H15" i="14" s="1"/>
  <c r="I11" i="14"/>
  <c r="R32" i="8"/>
  <c r="P31" i="8"/>
  <c r="Q31" i="8" s="1"/>
  <c r="R31" i="8"/>
  <c r="Q28" i="3"/>
  <c r="O12" i="14" l="1"/>
  <c r="O10" i="14"/>
  <c r="J22" i="14"/>
  <c r="K29" i="14"/>
  <c r="O14" i="14"/>
  <c r="O11" i="14"/>
  <c r="O8" i="14"/>
  <c r="R28" i="3"/>
  <c r="P6" i="12"/>
  <c r="F9" i="11" s="1"/>
  <c r="P4" i="12"/>
  <c r="O13" i="3"/>
  <c r="P13" i="3" s="1"/>
  <c r="Q13" i="3" s="1"/>
  <c r="J4" i="3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J5" i="3"/>
  <c r="K5" i="3" s="1"/>
  <c r="J6" i="3"/>
  <c r="K6" i="3" s="1"/>
  <c r="J7" i="3"/>
  <c r="K7" i="3" s="1"/>
  <c r="J8" i="3"/>
  <c r="J9" i="3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J10" i="3"/>
  <c r="K10" i="3" s="1"/>
  <c r="L10" i="3" s="1"/>
  <c r="N10" i="3" s="1"/>
  <c r="O10" i="3" s="1"/>
  <c r="P10" i="3" s="1"/>
  <c r="Q10" i="3" s="1"/>
  <c r="R10" i="3" s="1"/>
  <c r="S10" i="3" s="1"/>
  <c r="T10" i="3" s="1"/>
  <c r="U10" i="3" s="1"/>
  <c r="J11" i="3"/>
  <c r="J12" i="3"/>
  <c r="J13" i="3"/>
  <c r="K13" i="3" s="1"/>
  <c r="L13" i="3" s="1"/>
  <c r="M13" i="3" s="1"/>
  <c r="J14" i="3"/>
  <c r="J15" i="3"/>
  <c r="J16" i="3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J17" i="3"/>
  <c r="K17" i="3" s="1"/>
  <c r="L17" i="3" s="1"/>
  <c r="M17" i="3" s="1"/>
  <c r="N17" i="3" s="1"/>
  <c r="O17" i="3" s="1"/>
  <c r="Q17" i="3" s="1"/>
  <c r="R17" i="3" s="1"/>
  <c r="S17" i="3" s="1"/>
  <c r="T17" i="3" s="1"/>
  <c r="J18" i="3"/>
  <c r="K18" i="3" s="1"/>
  <c r="L18" i="3" s="1"/>
  <c r="M18" i="3" s="1"/>
  <c r="N18" i="3" s="1"/>
  <c r="O18" i="3" s="1"/>
  <c r="R18" i="3" s="1"/>
  <c r="S18" i="3" s="1"/>
  <c r="T18" i="3" s="1"/>
  <c r="U18" i="3" s="1"/>
  <c r="J19" i="3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J20" i="3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J21" i="3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J22" i="3"/>
  <c r="J23" i="3"/>
  <c r="J24" i="3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J25" i="3"/>
  <c r="J26" i="3"/>
  <c r="J27" i="3"/>
  <c r="K27" i="3" s="1"/>
  <c r="L27" i="3" s="1"/>
  <c r="M27" i="3" s="1"/>
  <c r="O27" i="3" s="1"/>
  <c r="P27" i="3" s="1"/>
  <c r="Q27" i="3" s="1"/>
  <c r="R27" i="3" s="1"/>
  <c r="S27" i="3" s="1"/>
  <c r="T27" i="3" s="1"/>
  <c r="U27" i="3" s="1"/>
  <c r="J28" i="3"/>
  <c r="K28" i="3" s="1"/>
  <c r="L28" i="3" s="1"/>
  <c r="M28" i="3" s="1"/>
  <c r="J29" i="3"/>
  <c r="J30" i="3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J31" i="3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U31" i="3" s="1"/>
  <c r="J32" i="3"/>
  <c r="J33" i="3"/>
  <c r="J3" i="3"/>
  <c r="D5" i="11"/>
  <c r="D11" i="11"/>
  <c r="D7" i="11"/>
  <c r="E22" i="10"/>
  <c r="E17" i="10"/>
  <c r="E12" i="10"/>
  <c r="C37" i="8"/>
  <c r="J32" i="14" l="1"/>
  <c r="K22" i="14"/>
  <c r="K32" i="14" s="1"/>
  <c r="L29" i="14"/>
  <c r="V9" i="3"/>
  <c r="C18" i="1"/>
  <c r="J42" i="3"/>
  <c r="K32" i="3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K15" i="3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26" i="3"/>
  <c r="K14" i="3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K25" i="3"/>
  <c r="J41" i="3"/>
  <c r="C19" i="14" s="1"/>
  <c r="K29" i="3"/>
  <c r="K33" i="3"/>
  <c r="K43" i="3" s="1"/>
  <c r="J43" i="3"/>
  <c r="K26" i="3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4" i="3"/>
  <c r="J40" i="3"/>
  <c r="K8" i="3"/>
  <c r="L8" i="3" s="1"/>
  <c r="J37" i="3"/>
  <c r="S28" i="3"/>
  <c r="V27" i="3"/>
  <c r="V16" i="3"/>
  <c r="L7" i="3"/>
  <c r="M7" i="3" s="1"/>
  <c r="N7" i="3" s="1"/>
  <c r="O7" i="3" s="1"/>
  <c r="P7" i="3" s="1"/>
  <c r="Q7" i="3" s="1"/>
  <c r="R7" i="3" s="1"/>
  <c r="S7" i="3" s="1"/>
  <c r="T7" i="3" s="1"/>
  <c r="U7" i="3" s="1"/>
  <c r="K12" i="3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L6" i="3"/>
  <c r="M6" i="3" s="1"/>
  <c r="O6" i="3" s="1"/>
  <c r="P6" i="3" s="1"/>
  <c r="Q6" i="3" s="1"/>
  <c r="R6" i="3" s="1"/>
  <c r="S6" i="3" s="1"/>
  <c r="T6" i="3" s="1"/>
  <c r="U6" i="3" s="1"/>
  <c r="K23" i="3"/>
  <c r="K11" i="3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L5" i="3"/>
  <c r="M5" i="3" s="1"/>
  <c r="O5" i="3" s="1"/>
  <c r="P5" i="3" s="1"/>
  <c r="Q5" i="3" s="1"/>
  <c r="R5" i="3" s="1"/>
  <c r="S5" i="3" s="1"/>
  <c r="T5" i="3" s="1"/>
  <c r="U5" i="3" s="1"/>
  <c r="V5" i="3"/>
  <c r="V4" i="3"/>
  <c r="V20" i="3"/>
  <c r="V19" i="3"/>
  <c r="V30" i="3"/>
  <c r="V21" i="3"/>
  <c r="V31" i="3"/>
  <c r="K3" i="3"/>
  <c r="K22" i="3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18" i="3"/>
  <c r="U17" i="3"/>
  <c r="V17" i="3" s="1"/>
  <c r="R13" i="3"/>
  <c r="S13" i="3" s="1"/>
  <c r="T13" i="3" s="1"/>
  <c r="U13" i="3" s="1"/>
  <c r="V13" i="3"/>
  <c r="V10" i="3"/>
  <c r="C17" i="14" l="1"/>
  <c r="M29" i="14"/>
  <c r="L22" i="14"/>
  <c r="L32" i="14" s="1"/>
  <c r="C19" i="1"/>
  <c r="C17" i="1" s="1"/>
  <c r="L33" i="3"/>
  <c r="L29" i="3"/>
  <c r="D18" i="1"/>
  <c r="V14" i="3"/>
  <c r="V15" i="3"/>
  <c r="K42" i="3"/>
  <c r="L25" i="3"/>
  <c r="K41" i="3"/>
  <c r="D19" i="14" s="1"/>
  <c r="D17" i="14" s="1"/>
  <c r="V32" i="3"/>
  <c r="T28" i="3"/>
  <c r="M33" i="3"/>
  <c r="L43" i="3"/>
  <c r="V6" i="3"/>
  <c r="V22" i="3"/>
  <c r="V12" i="3"/>
  <c r="V7" i="3"/>
  <c r="L23" i="3"/>
  <c r="L37" i="3"/>
  <c r="M8" i="3"/>
  <c r="K40" i="3"/>
  <c r="L3" i="3"/>
  <c r="K37" i="3"/>
  <c r="V11" i="3"/>
  <c r="D20" i="14" l="1"/>
  <c r="D34" i="14"/>
  <c r="D35" i="14" s="1"/>
  <c r="M22" i="14"/>
  <c r="N29" i="14"/>
  <c r="C20" i="14"/>
  <c r="C34" i="14"/>
  <c r="C35" i="14" s="1"/>
  <c r="D19" i="1"/>
  <c r="M25" i="3"/>
  <c r="L41" i="3"/>
  <c r="E19" i="14" s="1"/>
  <c r="E18" i="1"/>
  <c r="M29" i="3"/>
  <c r="L42" i="3"/>
  <c r="U28" i="3"/>
  <c r="V28" i="3"/>
  <c r="N8" i="3"/>
  <c r="M37" i="3"/>
  <c r="L40" i="3"/>
  <c r="M3" i="3"/>
  <c r="M23" i="3"/>
  <c r="N33" i="3"/>
  <c r="M43" i="3"/>
  <c r="N22" i="14" l="1"/>
  <c r="N32" i="14" s="1"/>
  <c r="O29" i="14"/>
  <c r="E17" i="14"/>
  <c r="M32" i="14"/>
  <c r="E19" i="1"/>
  <c r="F18" i="1"/>
  <c r="N29" i="3"/>
  <c r="M42" i="3"/>
  <c r="N25" i="3"/>
  <c r="M41" i="3"/>
  <c r="F19" i="14" s="1"/>
  <c r="F17" i="14" s="1"/>
  <c r="N3" i="3"/>
  <c r="M40" i="3"/>
  <c r="N37" i="3"/>
  <c r="O8" i="3"/>
  <c r="O33" i="3"/>
  <c r="N43" i="3"/>
  <c r="N23" i="3"/>
  <c r="O22" i="14" l="1"/>
  <c r="O32" i="14" s="1"/>
  <c r="F20" i="14"/>
  <c r="F34" i="14"/>
  <c r="F35" i="14" s="1"/>
  <c r="E20" i="14"/>
  <c r="E34" i="14"/>
  <c r="E35" i="14" s="1"/>
  <c r="F19" i="1"/>
  <c r="O25" i="3"/>
  <c r="N41" i="3"/>
  <c r="G19" i="14" s="1"/>
  <c r="G17" i="14" s="1"/>
  <c r="G18" i="1"/>
  <c r="O29" i="3"/>
  <c r="N42" i="3"/>
  <c r="P8" i="3"/>
  <c r="O37" i="3"/>
  <c r="O23" i="3"/>
  <c r="O3" i="3"/>
  <c r="N40" i="3"/>
  <c r="P33" i="3"/>
  <c r="O43" i="3"/>
  <c r="G20" i="14" l="1"/>
  <c r="G34" i="14"/>
  <c r="G35" i="14" s="1"/>
  <c r="G19" i="1"/>
  <c r="H18" i="1"/>
  <c r="P29" i="3"/>
  <c r="O42" i="3"/>
  <c r="P25" i="3"/>
  <c r="O41" i="3"/>
  <c r="H19" i="14" s="1"/>
  <c r="H17" i="14" s="1"/>
  <c r="P3" i="3"/>
  <c r="O40" i="3"/>
  <c r="P23" i="3"/>
  <c r="P37" i="3" s="1"/>
  <c r="Q33" i="3"/>
  <c r="P43" i="3"/>
  <c r="Q8" i="3"/>
  <c r="H20" i="14" l="1"/>
  <c r="H34" i="14"/>
  <c r="H35" i="14" s="1"/>
  <c r="H19" i="1"/>
  <c r="Q25" i="3"/>
  <c r="P41" i="3"/>
  <c r="I19" i="14" s="1"/>
  <c r="I17" i="14" s="1"/>
  <c r="I18" i="1"/>
  <c r="Q29" i="3"/>
  <c r="P42" i="3"/>
  <c r="Q3" i="3"/>
  <c r="P40" i="3"/>
  <c r="R8" i="3"/>
  <c r="R33" i="3"/>
  <c r="Q43" i="3"/>
  <c r="Q23" i="3"/>
  <c r="I20" i="14" l="1"/>
  <c r="I34" i="14"/>
  <c r="I35" i="14" s="1"/>
  <c r="I19" i="1"/>
  <c r="J18" i="1"/>
  <c r="R29" i="3"/>
  <c r="Q42" i="3"/>
  <c r="R25" i="3"/>
  <c r="Q41" i="3"/>
  <c r="J19" i="14" s="1"/>
  <c r="J17" i="14" s="1"/>
  <c r="R23" i="3"/>
  <c r="R37" i="3" s="1"/>
  <c r="Q37" i="3"/>
  <c r="S33" i="3"/>
  <c r="R43" i="3"/>
  <c r="S8" i="3"/>
  <c r="R3" i="3"/>
  <c r="Q40" i="3"/>
  <c r="J20" i="14" l="1"/>
  <c r="J34" i="14"/>
  <c r="J35" i="14" s="1"/>
  <c r="J19" i="1"/>
  <c r="S25" i="3"/>
  <c r="R41" i="3"/>
  <c r="K19" i="14" s="1"/>
  <c r="K17" i="14" s="1"/>
  <c r="K18" i="1"/>
  <c r="S29" i="3"/>
  <c r="R42" i="3"/>
  <c r="T8" i="3"/>
  <c r="T33" i="3"/>
  <c r="S43" i="3"/>
  <c r="S3" i="3"/>
  <c r="R40" i="3"/>
  <c r="S23" i="3"/>
  <c r="S37" i="3" s="1"/>
  <c r="K20" i="14" l="1"/>
  <c r="K34" i="14"/>
  <c r="K35" i="14" s="1"/>
  <c r="L18" i="1"/>
  <c r="S42" i="3"/>
  <c r="T29" i="3"/>
  <c r="T25" i="3"/>
  <c r="S41" i="3"/>
  <c r="L19" i="14" s="1"/>
  <c r="L17" i="14" s="1"/>
  <c r="K19" i="1"/>
  <c r="T23" i="3"/>
  <c r="T37" i="3" s="1"/>
  <c r="T3" i="3"/>
  <c r="S40" i="3"/>
  <c r="U33" i="3"/>
  <c r="T43" i="3"/>
  <c r="U8" i="3"/>
  <c r="L20" i="14" l="1"/>
  <c r="L34" i="14"/>
  <c r="L35" i="14" s="1"/>
  <c r="L19" i="1"/>
  <c r="U25" i="3"/>
  <c r="T41" i="3"/>
  <c r="M19" i="14" s="1"/>
  <c r="M17" i="14" s="1"/>
  <c r="M18" i="1"/>
  <c r="T42" i="3"/>
  <c r="U29" i="3"/>
  <c r="V29" i="3"/>
  <c r="V8" i="3"/>
  <c r="U43" i="3"/>
  <c r="V43" i="3" s="1"/>
  <c r="V33" i="3"/>
  <c r="U3" i="3"/>
  <c r="T40" i="3"/>
  <c r="U23" i="3"/>
  <c r="M20" i="14" l="1"/>
  <c r="M34" i="14"/>
  <c r="M35" i="14" s="1"/>
  <c r="M19" i="1"/>
  <c r="N18" i="1"/>
  <c r="U42" i="3"/>
  <c r="V42" i="3" s="1"/>
  <c r="U41" i="3"/>
  <c r="N19" i="14" s="1"/>
  <c r="V25" i="3"/>
  <c r="V23" i="3"/>
  <c r="U40" i="3"/>
  <c r="V40" i="3" s="1"/>
  <c r="V3" i="3"/>
  <c r="U37" i="3"/>
  <c r="N17" i="14" l="1"/>
  <c r="O19" i="14"/>
  <c r="V41" i="3"/>
  <c r="N19" i="1"/>
  <c r="V37" i="3"/>
  <c r="N20" i="14" l="1"/>
  <c r="N34" i="14"/>
  <c r="N35" i="14" s="1"/>
  <c r="O17" i="14"/>
  <c r="S33" i="8"/>
  <c r="D33" i="8"/>
  <c r="J33" i="8" s="1"/>
  <c r="S30" i="8"/>
  <c r="D30" i="8"/>
  <c r="K30" i="8" s="1"/>
  <c r="S29" i="8"/>
  <c r="D29" i="8"/>
  <c r="S28" i="8"/>
  <c r="D28" i="8"/>
  <c r="S27" i="8"/>
  <c r="D27" i="8"/>
  <c r="I27" i="8" s="1"/>
  <c r="J27" i="8" s="1"/>
  <c r="K27" i="8" s="1"/>
  <c r="L27" i="8" s="1"/>
  <c r="M27" i="8" s="1"/>
  <c r="N27" i="8" s="1"/>
  <c r="O27" i="8" s="1"/>
  <c r="P27" i="8" s="1"/>
  <c r="Q27" i="8" s="1"/>
  <c r="S26" i="8"/>
  <c r="D26" i="8"/>
  <c r="I26" i="8" s="1"/>
  <c r="S25" i="8"/>
  <c r="D25" i="8"/>
  <c r="M25" i="8" s="1"/>
  <c r="N25" i="8" s="1"/>
  <c r="O25" i="8" s="1"/>
  <c r="P25" i="8" s="1"/>
  <c r="Q25" i="8" s="1"/>
  <c r="D24" i="8"/>
  <c r="S4" i="8"/>
  <c r="D5" i="8"/>
  <c r="D6" i="8"/>
  <c r="D7" i="8"/>
  <c r="D8" i="8"/>
  <c r="D9" i="8"/>
  <c r="D10" i="8"/>
  <c r="D11" i="8"/>
  <c r="D12" i="8"/>
  <c r="D13" i="8"/>
  <c r="D14" i="8"/>
  <c r="D4" i="8"/>
  <c r="C18" i="8"/>
  <c r="S14" i="8"/>
  <c r="S13" i="8"/>
  <c r="S12" i="8"/>
  <c r="S11" i="8"/>
  <c r="S10" i="8"/>
  <c r="S9" i="8"/>
  <c r="S8" i="8"/>
  <c r="S7" i="8"/>
  <c r="S6" i="8"/>
  <c r="S5" i="8"/>
  <c r="O31" i="1"/>
  <c r="O30" i="1"/>
  <c r="O29" i="1"/>
  <c r="O28" i="1"/>
  <c r="O27" i="1"/>
  <c r="O24" i="1"/>
  <c r="I17" i="1"/>
  <c r="H17" i="1"/>
  <c r="G17" i="1"/>
  <c r="F17" i="1"/>
  <c r="E17" i="1"/>
  <c r="O20" i="14" l="1"/>
  <c r="O34" i="14"/>
  <c r="O35" i="14" s="1"/>
  <c r="F13" i="8"/>
  <c r="G13" i="8" s="1"/>
  <c r="L24" i="8"/>
  <c r="M24" i="8" s="1"/>
  <c r="N24" i="8" s="1"/>
  <c r="O24" i="8" s="1"/>
  <c r="P24" i="8" s="1"/>
  <c r="Q24" i="8" s="1"/>
  <c r="D37" i="8"/>
  <c r="F9" i="8"/>
  <c r="N17" i="1"/>
  <c r="J17" i="1"/>
  <c r="M17" i="1"/>
  <c r="K17" i="1"/>
  <c r="L17" i="1"/>
  <c r="I29" i="8"/>
  <c r="J29" i="8" s="1"/>
  <c r="K29" i="8" s="1"/>
  <c r="L29" i="8" s="1"/>
  <c r="M29" i="8" s="1"/>
  <c r="N29" i="8" s="1"/>
  <c r="O29" i="8" s="1"/>
  <c r="P29" i="8" s="1"/>
  <c r="Q29" i="8" s="1"/>
  <c r="K33" i="8"/>
  <c r="L33" i="8" s="1"/>
  <c r="M33" i="8" s="1"/>
  <c r="N33" i="8" s="1"/>
  <c r="O33" i="8" s="1"/>
  <c r="P33" i="8" s="1"/>
  <c r="Q33" i="8" s="1"/>
  <c r="J28" i="8"/>
  <c r="K28" i="8" s="1"/>
  <c r="L28" i="8" s="1"/>
  <c r="M28" i="8" s="1"/>
  <c r="N28" i="8" s="1"/>
  <c r="O28" i="8" s="1"/>
  <c r="P28" i="8" s="1"/>
  <c r="Q28" i="8" s="1"/>
  <c r="L30" i="8"/>
  <c r="M30" i="8" s="1"/>
  <c r="N30" i="8" s="1"/>
  <c r="O30" i="8" s="1"/>
  <c r="P30" i="8" s="1"/>
  <c r="Q30" i="8" s="1"/>
  <c r="J26" i="8"/>
  <c r="K26" i="8" s="1"/>
  <c r="L26" i="8" s="1"/>
  <c r="M26" i="8" s="1"/>
  <c r="N26" i="8" s="1"/>
  <c r="O26" i="8" s="1"/>
  <c r="P26" i="8" s="1"/>
  <c r="Q26" i="8" s="1"/>
  <c r="AF25" i="8"/>
  <c r="AF26" i="8"/>
  <c r="AF28" i="8"/>
  <c r="AS28" i="8" s="1"/>
  <c r="AF27" i="8"/>
  <c r="AF30" i="8"/>
  <c r="AF29" i="8"/>
  <c r="F4" i="8"/>
  <c r="AF4" i="8" s="1"/>
  <c r="F10" i="8"/>
  <c r="AF10" i="8" s="1"/>
  <c r="F12" i="8"/>
  <c r="AF12" i="8" s="1"/>
  <c r="F11" i="8"/>
  <c r="G11" i="8" s="1"/>
  <c r="AG11" i="8" s="1"/>
  <c r="F14" i="8"/>
  <c r="G14" i="8" s="1"/>
  <c r="D18" i="8"/>
  <c r="F5" i="8"/>
  <c r="AF5" i="8" s="1"/>
  <c r="F6" i="8"/>
  <c r="G6" i="8" s="1"/>
  <c r="F7" i="8"/>
  <c r="G7" i="8" s="1"/>
  <c r="AG7" i="8" s="1"/>
  <c r="AT7" i="8" s="1"/>
  <c r="F8" i="8"/>
  <c r="AF8" i="8" s="1"/>
  <c r="AG13" i="8"/>
  <c r="AT13" i="8" s="1"/>
  <c r="H13" i="8"/>
  <c r="I13" i="8" s="1"/>
  <c r="AF13" i="8"/>
  <c r="AS13" i="8" s="1"/>
  <c r="G9" i="8"/>
  <c r="AF9" i="8"/>
  <c r="O19" i="1"/>
  <c r="D17" i="1"/>
  <c r="O18" i="1"/>
  <c r="G10" i="8" l="1"/>
  <c r="H10" i="8" s="1"/>
  <c r="E47" i="9"/>
  <c r="AS12" i="8"/>
  <c r="E13" i="9" s="1"/>
  <c r="E31" i="9" s="1"/>
  <c r="G12" i="8"/>
  <c r="AG12" i="8" s="1"/>
  <c r="G5" i="8"/>
  <c r="AG5" i="8" s="1"/>
  <c r="AS29" i="8"/>
  <c r="AG29" i="8"/>
  <c r="AT29" i="8" s="1"/>
  <c r="AF33" i="8"/>
  <c r="AG26" i="8"/>
  <c r="AT26" i="8" s="1"/>
  <c r="AF24" i="8"/>
  <c r="F34" i="8"/>
  <c r="F37" i="8" s="1"/>
  <c r="AS26" i="8"/>
  <c r="AG28" i="8"/>
  <c r="AT28" i="8" s="1"/>
  <c r="AS30" i="8"/>
  <c r="AG25" i="8"/>
  <c r="AT25" i="8" s="1"/>
  <c r="AG30" i="8"/>
  <c r="AT30" i="8" s="1"/>
  <c r="AS25" i="8"/>
  <c r="AS27" i="8"/>
  <c r="AG27" i="8"/>
  <c r="AT27" i="8" s="1"/>
  <c r="G4" i="8"/>
  <c r="AG4" i="8" s="1"/>
  <c r="AT4" i="8" s="1"/>
  <c r="F5" i="9" s="1"/>
  <c r="F8" i="9"/>
  <c r="F14" i="9"/>
  <c r="F32" i="9" s="1"/>
  <c r="E14" i="9"/>
  <c r="E32" i="9" s="1"/>
  <c r="G8" i="8"/>
  <c r="AG8" i="8" s="1"/>
  <c r="AF6" i="8"/>
  <c r="AS6" i="8" s="1"/>
  <c r="AF7" i="8"/>
  <c r="AS7" i="8" s="1"/>
  <c r="AT11" i="8"/>
  <c r="H11" i="8"/>
  <c r="I11" i="8" s="1"/>
  <c r="AF14" i="8"/>
  <c r="AS14" i="8" s="1"/>
  <c r="F15" i="8"/>
  <c r="F18" i="8" s="1"/>
  <c r="AF11" i="8"/>
  <c r="AS11" i="8" s="1"/>
  <c r="H7" i="8"/>
  <c r="I7" i="8" s="1"/>
  <c r="AS5" i="8"/>
  <c r="AH13" i="8"/>
  <c r="AU13" i="8" s="1"/>
  <c r="H12" i="8"/>
  <c r="AG14" i="8"/>
  <c r="AT14" i="8" s="1"/>
  <c r="H14" i="8"/>
  <c r="AG10" i="8"/>
  <c r="AS9" i="8"/>
  <c r="AG6" i="8"/>
  <c r="AT6" i="8" s="1"/>
  <c r="H6" i="8"/>
  <c r="J13" i="8"/>
  <c r="AI13" i="8"/>
  <c r="AV13" i="8" s="1"/>
  <c r="AS8" i="8"/>
  <c r="AS4" i="8"/>
  <c r="AS10" i="8"/>
  <c r="E11" i="9" s="1"/>
  <c r="H9" i="8"/>
  <c r="AG9" i="8"/>
  <c r="AT9" i="8" s="1"/>
  <c r="O17" i="1"/>
  <c r="C5" i="1" l="1"/>
  <c r="D3" i="12" s="1"/>
  <c r="E5" i="9"/>
  <c r="F48" i="9"/>
  <c r="F65" i="9" s="1"/>
  <c r="E48" i="9"/>
  <c r="E65" i="9" s="1"/>
  <c r="F44" i="9"/>
  <c r="F61" i="9" s="1"/>
  <c r="E45" i="9"/>
  <c r="E62" i="9" s="1"/>
  <c r="F46" i="9"/>
  <c r="F63" i="9" s="1"/>
  <c r="E44" i="9"/>
  <c r="E61" i="9" s="1"/>
  <c r="E49" i="9"/>
  <c r="E66" i="9" s="1"/>
  <c r="F45" i="9"/>
  <c r="F62" i="9" s="1"/>
  <c r="E46" i="9"/>
  <c r="F49" i="9"/>
  <c r="F66" i="9" s="1"/>
  <c r="F47" i="9"/>
  <c r="E64" i="9"/>
  <c r="H5" i="8"/>
  <c r="I5" i="8" s="1"/>
  <c r="H8" i="8"/>
  <c r="I8" i="8" s="1"/>
  <c r="H4" i="8"/>
  <c r="AH4" i="8" s="1"/>
  <c r="G15" i="8"/>
  <c r="G18" i="8" s="1"/>
  <c r="AH7" i="8"/>
  <c r="AU7" i="8" s="1"/>
  <c r="G8" i="9" s="1"/>
  <c r="AG24" i="8"/>
  <c r="AT24" i="8" s="1"/>
  <c r="G34" i="8"/>
  <c r="G37" i="8" s="1"/>
  <c r="AH29" i="8"/>
  <c r="AU29" i="8" s="1"/>
  <c r="AF34" i="8"/>
  <c r="AF37" i="8" s="1"/>
  <c r="AH27" i="8"/>
  <c r="AH26" i="8"/>
  <c r="AH28" i="8"/>
  <c r="AH30" i="8"/>
  <c r="AG33" i="8"/>
  <c r="AT33" i="8" s="1"/>
  <c r="AS33" i="8"/>
  <c r="AH25" i="8"/>
  <c r="AS24" i="8"/>
  <c r="E6" i="9"/>
  <c r="E24" i="9" s="1"/>
  <c r="F23" i="9"/>
  <c r="E12" i="9"/>
  <c r="E30" i="9" s="1"/>
  <c r="F7" i="9"/>
  <c r="F25" i="9" s="1"/>
  <c r="G14" i="9"/>
  <c r="G32" i="9" s="1"/>
  <c r="E8" i="9"/>
  <c r="E26" i="9" s="1"/>
  <c r="E10" i="9"/>
  <c r="E28" i="9" s="1"/>
  <c r="E15" i="9"/>
  <c r="E33" i="9" s="1"/>
  <c r="E7" i="9"/>
  <c r="E25" i="9" s="1"/>
  <c r="F12" i="9"/>
  <c r="F30" i="9" s="1"/>
  <c r="AH11" i="8"/>
  <c r="AU11" i="8" s="1"/>
  <c r="E9" i="9"/>
  <c r="E27" i="9" s="1"/>
  <c r="E29" i="9"/>
  <c r="F15" i="9"/>
  <c r="F33" i="9" s="1"/>
  <c r="F10" i="9"/>
  <c r="F28" i="9" s="1"/>
  <c r="H14" i="9"/>
  <c r="H32" i="9" s="1"/>
  <c r="F26" i="9"/>
  <c r="AF15" i="8"/>
  <c r="AF18" i="8" s="1"/>
  <c r="AG15" i="8"/>
  <c r="AG18" i="8" s="1"/>
  <c r="J7" i="8"/>
  <c r="AI7" i="8"/>
  <c r="AH10" i="8"/>
  <c r="AU10" i="8" s="1"/>
  <c r="I10" i="8"/>
  <c r="AI11" i="8"/>
  <c r="AV11" i="8" s="1"/>
  <c r="J11" i="8"/>
  <c r="AS15" i="8"/>
  <c r="AS18" i="8" s="1"/>
  <c r="AT10" i="8"/>
  <c r="AH12" i="8"/>
  <c r="AU12" i="8" s="1"/>
  <c r="I12" i="8"/>
  <c r="I9" i="8"/>
  <c r="AH9" i="8"/>
  <c r="AU9" i="8" s="1"/>
  <c r="AT12" i="8"/>
  <c r="AT5" i="8"/>
  <c r="AT8" i="8"/>
  <c r="I6" i="8"/>
  <c r="AH6" i="8"/>
  <c r="AU6" i="8" s="1"/>
  <c r="K13" i="8"/>
  <c r="AJ13" i="8"/>
  <c r="AW13" i="8" s="1"/>
  <c r="AH14" i="8"/>
  <c r="AU14" i="8" s="1"/>
  <c r="I14" i="8"/>
  <c r="D5" i="12" l="1"/>
  <c r="D5" i="1"/>
  <c r="C14" i="1"/>
  <c r="C15" i="1" s="1"/>
  <c r="C20" i="1"/>
  <c r="AH5" i="8"/>
  <c r="AU5" i="8" s="1"/>
  <c r="G6" i="9" s="1"/>
  <c r="G24" i="9" s="1"/>
  <c r="E23" i="9"/>
  <c r="E34" i="9" s="1"/>
  <c r="E37" i="9" s="1"/>
  <c r="H15" i="8"/>
  <c r="H18" i="8" s="1"/>
  <c r="E5" i="1" s="1"/>
  <c r="AH8" i="8"/>
  <c r="AU8" i="8" s="1"/>
  <c r="G9" i="9" s="1"/>
  <c r="AU4" i="8"/>
  <c r="G5" i="9" s="1"/>
  <c r="G23" i="9" s="1"/>
  <c r="F43" i="9"/>
  <c r="E52" i="9"/>
  <c r="F52" i="9"/>
  <c r="F64" i="9"/>
  <c r="E43" i="9"/>
  <c r="G48" i="9"/>
  <c r="G65" i="9" s="1"/>
  <c r="E63" i="9"/>
  <c r="I4" i="8"/>
  <c r="AI4" i="8" s="1"/>
  <c r="AV4" i="8" s="1"/>
  <c r="G26" i="9"/>
  <c r="J4" i="8"/>
  <c r="AJ4" i="8" s="1"/>
  <c r="AG34" i="8"/>
  <c r="AG37" i="8" s="1"/>
  <c r="AI26" i="8"/>
  <c r="AV26" i="8" s="1"/>
  <c r="AT34" i="8"/>
  <c r="AT37" i="8" s="1"/>
  <c r="AS34" i="8"/>
  <c r="AS37" i="8" s="1"/>
  <c r="AI25" i="8"/>
  <c r="AV25" i="8" s="1"/>
  <c r="AH33" i="8"/>
  <c r="AU33" i="8" s="1"/>
  <c r="AH24" i="8"/>
  <c r="AU24" i="8" s="1"/>
  <c r="H34" i="8"/>
  <c r="H37" i="8" s="1"/>
  <c r="AU25" i="8"/>
  <c r="AI28" i="8"/>
  <c r="AV28" i="8" s="1"/>
  <c r="AI27" i="8"/>
  <c r="AV27" i="8" s="1"/>
  <c r="AU27" i="8"/>
  <c r="AI30" i="8"/>
  <c r="AV30" i="8" s="1"/>
  <c r="AU28" i="8"/>
  <c r="AU30" i="8"/>
  <c r="AU26" i="8"/>
  <c r="AI29" i="8"/>
  <c r="G10" i="9"/>
  <c r="G28" i="9" s="1"/>
  <c r="G13" i="9"/>
  <c r="G31" i="9" s="1"/>
  <c r="G15" i="9"/>
  <c r="G33" i="9" s="1"/>
  <c r="G7" i="9"/>
  <c r="G25" i="9" s="1"/>
  <c r="G12" i="9"/>
  <c r="G30" i="9" s="1"/>
  <c r="E16" i="9"/>
  <c r="E19" i="9" s="1"/>
  <c r="G11" i="9"/>
  <c r="G29" i="9" s="1"/>
  <c r="F9" i="9"/>
  <c r="F27" i="9" s="1"/>
  <c r="F6" i="9"/>
  <c r="F24" i="9" s="1"/>
  <c r="F11" i="9"/>
  <c r="F29" i="9" s="1"/>
  <c r="I14" i="9"/>
  <c r="I32" i="9" s="1"/>
  <c r="H12" i="9"/>
  <c r="H30" i="9" s="1"/>
  <c r="F13" i="9"/>
  <c r="AI6" i="8"/>
  <c r="AV6" i="8" s="1"/>
  <c r="J6" i="8"/>
  <c r="J10" i="8"/>
  <c r="AI10" i="8"/>
  <c r="AV10" i="8" s="1"/>
  <c r="AV7" i="8"/>
  <c r="AI14" i="8"/>
  <c r="AV14" i="8" s="1"/>
  <c r="J14" i="8"/>
  <c r="J5" i="8"/>
  <c r="AI5" i="8"/>
  <c r="AV5" i="8" s="1"/>
  <c r="J9" i="8"/>
  <c r="AI9" i="8"/>
  <c r="AV9" i="8" s="1"/>
  <c r="K11" i="8"/>
  <c r="AJ11" i="8"/>
  <c r="AW11" i="8" s="1"/>
  <c r="AI12" i="8"/>
  <c r="J12" i="8"/>
  <c r="AT15" i="8"/>
  <c r="AT18" i="8" s="1"/>
  <c r="AJ7" i="8"/>
  <c r="AW7" i="8" s="1"/>
  <c r="K7" i="8"/>
  <c r="AI8" i="8"/>
  <c r="AV8" i="8" s="1"/>
  <c r="J8" i="8"/>
  <c r="L13" i="8"/>
  <c r="AK13" i="8"/>
  <c r="AX13" i="8" s="1"/>
  <c r="E14" i="1" l="1"/>
  <c r="E15" i="1" s="1"/>
  <c r="F3" i="12"/>
  <c r="F5" i="12" s="1"/>
  <c r="F7" i="12" s="1"/>
  <c r="I15" i="8"/>
  <c r="I18" i="8" s="1"/>
  <c r="F5" i="1" s="1"/>
  <c r="D14" i="1"/>
  <c r="D15" i="1" s="1"/>
  <c r="E3" i="12"/>
  <c r="D7" i="12"/>
  <c r="K4" i="8"/>
  <c r="AK4" i="8" s="1"/>
  <c r="G27" i="9"/>
  <c r="G34" i="9" s="1"/>
  <c r="G37" i="9" s="1"/>
  <c r="AH15" i="8"/>
  <c r="AH18" i="8" s="1"/>
  <c r="AU15" i="8"/>
  <c r="AU18" i="8" s="1"/>
  <c r="G47" i="9"/>
  <c r="G64" i="9" s="1"/>
  <c r="H49" i="9"/>
  <c r="H66" i="9" s="1"/>
  <c r="G46" i="9"/>
  <c r="G63" i="9" s="1"/>
  <c r="H47" i="9"/>
  <c r="H64" i="9" s="1"/>
  <c r="G44" i="9"/>
  <c r="G61" i="9" s="1"/>
  <c r="H46" i="9"/>
  <c r="H63" i="9" s="1"/>
  <c r="G52" i="9"/>
  <c r="G45" i="9"/>
  <c r="E69" i="9"/>
  <c r="F60" i="9"/>
  <c r="G49" i="9"/>
  <c r="G66" i="9" s="1"/>
  <c r="H44" i="9"/>
  <c r="H61" i="9" s="1"/>
  <c r="G43" i="9"/>
  <c r="E60" i="9"/>
  <c r="E53" i="9"/>
  <c r="E56" i="9" s="1"/>
  <c r="D20" i="1"/>
  <c r="AU34" i="8"/>
  <c r="AU37" i="8" s="1"/>
  <c r="AH34" i="8"/>
  <c r="AH37" i="8" s="1"/>
  <c r="AI24" i="8"/>
  <c r="AJ29" i="8"/>
  <c r="AW29" i="8" s="1"/>
  <c r="AJ27" i="8"/>
  <c r="AW27" i="8" s="1"/>
  <c r="AJ26" i="8"/>
  <c r="AW26" i="8" s="1"/>
  <c r="AV29" i="8"/>
  <c r="AJ28" i="8"/>
  <c r="AW28" i="8" s="1"/>
  <c r="AI33" i="8"/>
  <c r="AV33" i="8" s="1"/>
  <c r="AJ30" i="8"/>
  <c r="AJ25" i="8"/>
  <c r="I12" i="9"/>
  <c r="I30" i="9" s="1"/>
  <c r="H7" i="9"/>
  <c r="G16" i="9"/>
  <c r="G19" i="9" s="1"/>
  <c r="F16" i="9"/>
  <c r="F19" i="9" s="1"/>
  <c r="H9" i="9"/>
  <c r="H27" i="9" s="1"/>
  <c r="H10" i="9"/>
  <c r="H28" i="9" s="1"/>
  <c r="H6" i="9"/>
  <c r="H24" i="9" s="1"/>
  <c r="F31" i="9"/>
  <c r="F34" i="9" s="1"/>
  <c r="F37" i="9" s="1"/>
  <c r="H8" i="9"/>
  <c r="I8" i="9"/>
  <c r="I26" i="9" s="1"/>
  <c r="H5" i="9"/>
  <c r="J14" i="9"/>
  <c r="J32" i="9" s="1"/>
  <c r="H15" i="9"/>
  <c r="H33" i="9" s="1"/>
  <c r="H11" i="9"/>
  <c r="H29" i="9" s="1"/>
  <c r="J15" i="8"/>
  <c r="J18" i="8" s="1"/>
  <c r="AI15" i="8"/>
  <c r="AI18" i="8" s="1"/>
  <c r="AW4" i="8"/>
  <c r="AJ12" i="8"/>
  <c r="AW12" i="8" s="1"/>
  <c r="K12" i="8"/>
  <c r="AJ14" i="8"/>
  <c r="K14" i="8"/>
  <c r="K9" i="8"/>
  <c r="AJ9" i="8"/>
  <c r="AW9" i="8" s="1"/>
  <c r="AJ8" i="8"/>
  <c r="AW8" i="8" s="1"/>
  <c r="K8" i="8"/>
  <c r="AK7" i="8"/>
  <c r="AX7" i="8" s="1"/>
  <c r="L7" i="8"/>
  <c r="AJ5" i="8"/>
  <c r="K5" i="8"/>
  <c r="K6" i="8"/>
  <c r="AJ6" i="8"/>
  <c r="AW6" i="8" s="1"/>
  <c r="AL13" i="8"/>
  <c r="AY13" i="8" s="1"/>
  <c r="M13" i="8"/>
  <c r="AV12" i="8"/>
  <c r="AV15" i="8"/>
  <c r="AV18" i="8" s="1"/>
  <c r="AK11" i="8"/>
  <c r="AX11" i="8" s="1"/>
  <c r="L11" i="8"/>
  <c r="K10" i="8"/>
  <c r="AJ10" i="8"/>
  <c r="AW10" i="8" s="1"/>
  <c r="F14" i="1" l="1"/>
  <c r="F15" i="1" s="1"/>
  <c r="G3" i="12"/>
  <c r="G5" i="12" s="1"/>
  <c r="G7" i="12" s="1"/>
  <c r="E5" i="12"/>
  <c r="L4" i="8"/>
  <c r="C7" i="1"/>
  <c r="J38" i="3" s="1"/>
  <c r="F53" i="9"/>
  <c r="F56" i="9" s="1"/>
  <c r="D7" i="1" s="1"/>
  <c r="K38" i="3" s="1"/>
  <c r="H45" i="9"/>
  <c r="H62" i="9" s="1"/>
  <c r="H52" i="9"/>
  <c r="I48" i="9"/>
  <c r="I65" i="9" s="1"/>
  <c r="G53" i="9"/>
  <c r="G56" i="9" s="1"/>
  <c r="E7" i="1" s="1"/>
  <c r="L38" i="3" s="1"/>
  <c r="I47" i="9"/>
  <c r="I64" i="9"/>
  <c r="I46" i="9"/>
  <c r="I63" i="9" s="1"/>
  <c r="G62" i="9"/>
  <c r="F70" i="9"/>
  <c r="F73" i="9" s="1"/>
  <c r="D9" i="1" s="1"/>
  <c r="D10" i="1" s="1"/>
  <c r="H48" i="9"/>
  <c r="H65" i="9" s="1"/>
  <c r="E70" i="9"/>
  <c r="E73" i="9" s="1"/>
  <c r="C9" i="1" s="1"/>
  <c r="C10" i="1" s="1"/>
  <c r="G60" i="9"/>
  <c r="I45" i="9"/>
  <c r="I62" i="9" s="1"/>
  <c r="AJ24" i="8"/>
  <c r="J34" i="8"/>
  <c r="J37" i="8" s="1"/>
  <c r="G5" i="1" s="1"/>
  <c r="AK25" i="8"/>
  <c r="AX25" i="8" s="1"/>
  <c r="AJ33" i="8"/>
  <c r="AW33" i="8" s="1"/>
  <c r="AI34" i="8"/>
  <c r="AI37" i="8" s="1"/>
  <c r="AK28" i="8"/>
  <c r="AX28" i="8" s="1"/>
  <c r="AK26" i="8"/>
  <c r="AX26" i="8" s="1"/>
  <c r="AK30" i="8"/>
  <c r="AX30" i="8" s="1"/>
  <c r="AW30" i="8"/>
  <c r="AK27" i="8"/>
  <c r="AX27" i="8" s="1"/>
  <c r="AK29" i="8"/>
  <c r="AX29" i="8" s="1"/>
  <c r="AW25" i="8"/>
  <c r="AV24" i="8"/>
  <c r="I11" i="9"/>
  <c r="I29" i="9" s="1"/>
  <c r="I13" i="9"/>
  <c r="I31" i="9" s="1"/>
  <c r="I5" i="9"/>
  <c r="I23" i="9" s="1"/>
  <c r="H25" i="9"/>
  <c r="H23" i="9"/>
  <c r="I9" i="9"/>
  <c r="J12" i="9"/>
  <c r="J30" i="9" s="1"/>
  <c r="H13" i="9"/>
  <c r="H16" i="9" s="1"/>
  <c r="H19" i="9" s="1"/>
  <c r="K14" i="9"/>
  <c r="K32" i="9" s="1"/>
  <c r="J8" i="9"/>
  <c r="J26" i="9" s="1"/>
  <c r="I10" i="9"/>
  <c r="I28" i="9" s="1"/>
  <c r="I7" i="9"/>
  <c r="I25" i="9" s="1"/>
  <c r="H26" i="9"/>
  <c r="AJ15" i="8"/>
  <c r="AJ18" i="8" s="1"/>
  <c r="AK14" i="8"/>
  <c r="AX14" i="8" s="1"/>
  <c r="L14" i="8"/>
  <c r="L6" i="8"/>
  <c r="AK6" i="8"/>
  <c r="AX6" i="8" s="1"/>
  <c r="AK10" i="8"/>
  <c r="AX10" i="8" s="1"/>
  <c r="L10" i="8"/>
  <c r="AK9" i="8"/>
  <c r="AX9" i="8" s="1"/>
  <c r="L9" i="8"/>
  <c r="AW14" i="8"/>
  <c r="L12" i="8"/>
  <c r="AK12" i="8"/>
  <c r="AX12" i="8" s="1"/>
  <c r="AW5" i="8"/>
  <c r="M7" i="8"/>
  <c r="AL7" i="8"/>
  <c r="AY7" i="8" s="1"/>
  <c r="AM13" i="8"/>
  <c r="AZ13" i="8" s="1"/>
  <c r="N13" i="8"/>
  <c r="AK8" i="8"/>
  <c r="AX8" i="8" s="1"/>
  <c r="L8" i="8"/>
  <c r="K15" i="8"/>
  <c r="K18" i="8" s="1"/>
  <c r="AL4" i="8"/>
  <c r="AY4" i="8" s="1"/>
  <c r="M4" i="8"/>
  <c r="AX4" i="8"/>
  <c r="M11" i="8"/>
  <c r="AL11" i="8"/>
  <c r="AY11" i="8" s="1"/>
  <c r="L5" i="8"/>
  <c r="AK5" i="8"/>
  <c r="AX5" i="8" s="1"/>
  <c r="G14" i="1" l="1"/>
  <c r="G15" i="1" s="1"/>
  <c r="H3" i="12"/>
  <c r="E7" i="12"/>
  <c r="K39" i="3"/>
  <c r="K44" i="3"/>
  <c r="J39" i="3"/>
  <c r="C23" i="1" s="1"/>
  <c r="J44" i="3"/>
  <c r="L39" i="3"/>
  <c r="E23" i="1" s="1"/>
  <c r="E22" i="1" s="1"/>
  <c r="E32" i="1" s="1"/>
  <c r="D8" i="1"/>
  <c r="D11" i="1"/>
  <c r="D12" i="1"/>
  <c r="C11" i="1"/>
  <c r="C8" i="1"/>
  <c r="C12" i="1"/>
  <c r="J48" i="9"/>
  <c r="J65" i="9" s="1"/>
  <c r="J46" i="9"/>
  <c r="J63" i="9" s="1"/>
  <c r="I49" i="9"/>
  <c r="E20" i="1"/>
  <c r="E8" i="1"/>
  <c r="J49" i="9"/>
  <c r="J66" i="9" s="1"/>
  <c r="J44" i="9"/>
  <c r="J61" i="9" s="1"/>
  <c r="I44" i="9"/>
  <c r="I61" i="9" s="1"/>
  <c r="J45" i="9"/>
  <c r="J62" i="9" s="1"/>
  <c r="G70" i="9"/>
  <c r="G73" i="9" s="1"/>
  <c r="E9" i="1" s="1"/>
  <c r="E11" i="1" s="1"/>
  <c r="H43" i="9"/>
  <c r="H53" i="9" s="1"/>
  <c r="J47" i="9"/>
  <c r="J64" i="9" s="1"/>
  <c r="I52" i="9"/>
  <c r="F20" i="1"/>
  <c r="AJ34" i="8"/>
  <c r="AJ37" i="8" s="1"/>
  <c r="AW24" i="8"/>
  <c r="AL28" i="8"/>
  <c r="AY28" i="8" s="1"/>
  <c r="AL27" i="8"/>
  <c r="AY27" i="8" s="1"/>
  <c r="AK24" i="8"/>
  <c r="AX24" i="8"/>
  <c r="K34" i="8"/>
  <c r="K37" i="8" s="1"/>
  <c r="H5" i="1" s="1"/>
  <c r="AL29" i="8"/>
  <c r="AY29" i="8" s="1"/>
  <c r="AK33" i="8"/>
  <c r="AX33" i="8" s="1"/>
  <c r="AL26" i="8"/>
  <c r="AY26" i="8" s="1"/>
  <c r="AV34" i="8"/>
  <c r="AV37" i="8" s="1"/>
  <c r="AL30" i="8"/>
  <c r="AY30" i="8" s="1"/>
  <c r="AL25" i="8"/>
  <c r="AY25" i="8" s="1"/>
  <c r="L14" i="9"/>
  <c r="L32" i="9" s="1"/>
  <c r="J13" i="9"/>
  <c r="J31" i="9" s="1"/>
  <c r="K8" i="9"/>
  <c r="K26" i="9" s="1"/>
  <c r="J15" i="9"/>
  <c r="J33" i="9" s="1"/>
  <c r="J5" i="9"/>
  <c r="J23" i="9" s="1"/>
  <c r="I6" i="9"/>
  <c r="I24" i="9" s="1"/>
  <c r="K5" i="9"/>
  <c r="K23" i="9" s="1"/>
  <c r="I27" i="9"/>
  <c r="K12" i="9"/>
  <c r="K30" i="9" s="1"/>
  <c r="I15" i="9"/>
  <c r="I33" i="9" s="1"/>
  <c r="J9" i="9"/>
  <c r="J27" i="9" s="1"/>
  <c r="J10" i="9"/>
  <c r="J28" i="9" s="1"/>
  <c r="J6" i="9"/>
  <c r="J11" i="9"/>
  <c r="J29" i="9" s="1"/>
  <c r="J7" i="9"/>
  <c r="J25" i="9" s="1"/>
  <c r="H31" i="9"/>
  <c r="AK15" i="8"/>
  <c r="AK18" i="8" s="1"/>
  <c r="AW15" i="8"/>
  <c r="AW18" i="8" s="1"/>
  <c r="L15" i="8"/>
  <c r="L18" i="8" s="1"/>
  <c r="N11" i="8"/>
  <c r="AM11" i="8"/>
  <c r="AZ11" i="8" s="1"/>
  <c r="AX15" i="8"/>
  <c r="AX18" i="8" s="1"/>
  <c r="M5" i="8"/>
  <c r="AL5" i="8"/>
  <c r="AN13" i="8"/>
  <c r="BA13" i="8" s="1"/>
  <c r="O13" i="8"/>
  <c r="M6" i="8"/>
  <c r="AL6" i="8"/>
  <c r="AY6" i="8" s="1"/>
  <c r="AL8" i="8"/>
  <c r="AY8" i="8" s="1"/>
  <c r="M8" i="8"/>
  <c r="AL9" i="8"/>
  <c r="AY9" i="8" s="1"/>
  <c r="M9" i="8"/>
  <c r="M14" i="8"/>
  <c r="AL14" i="8"/>
  <c r="AY14" i="8" s="1"/>
  <c r="N7" i="8"/>
  <c r="AM7" i="8"/>
  <c r="AZ7" i="8" s="1"/>
  <c r="AL10" i="8"/>
  <c r="AY10" i="8" s="1"/>
  <c r="M10" i="8"/>
  <c r="M12" i="8"/>
  <c r="AL12" i="8"/>
  <c r="AY12" i="8" s="1"/>
  <c r="AM4" i="8"/>
  <c r="AZ4" i="8" s="1"/>
  <c r="L5" i="9" s="1"/>
  <c r="N4" i="8"/>
  <c r="L44" i="3" l="1"/>
  <c r="H14" i="1"/>
  <c r="H15" i="1" s="1"/>
  <c r="I3" i="12"/>
  <c r="I5" i="12" s="1"/>
  <c r="I7" i="12" s="1"/>
  <c r="C22" i="1"/>
  <c r="D23" i="1"/>
  <c r="D22" i="1" s="1"/>
  <c r="H5" i="12"/>
  <c r="E10" i="1"/>
  <c r="E34" i="1"/>
  <c r="E35" i="1" s="1"/>
  <c r="E12" i="1"/>
  <c r="K48" i="9"/>
  <c r="K65" i="9" s="1"/>
  <c r="K49" i="9"/>
  <c r="K66" i="9" s="1"/>
  <c r="G20" i="1"/>
  <c r="H60" i="9"/>
  <c r="K44" i="9"/>
  <c r="J43" i="9"/>
  <c r="J60" i="9" s="1"/>
  <c r="K45" i="9"/>
  <c r="K62" i="9" s="1"/>
  <c r="AW34" i="8"/>
  <c r="AW37" i="8" s="1"/>
  <c r="I43" i="9"/>
  <c r="I60" i="9" s="1"/>
  <c r="J52" i="9"/>
  <c r="K46" i="9"/>
  <c r="K63" i="9" s="1"/>
  <c r="K47" i="9"/>
  <c r="K64" i="9" s="1"/>
  <c r="I66" i="9"/>
  <c r="J16" i="9"/>
  <c r="J19" i="9" s="1"/>
  <c r="J24" i="9"/>
  <c r="J34" i="9" s="1"/>
  <c r="J37" i="9" s="1"/>
  <c r="AM30" i="8"/>
  <c r="AZ30" i="8" s="1"/>
  <c r="AM26" i="8"/>
  <c r="AZ26" i="8" s="1"/>
  <c r="AM29" i="8"/>
  <c r="AZ29" i="8" s="1"/>
  <c r="AM28" i="8"/>
  <c r="AZ28" i="8" s="1"/>
  <c r="AX34" i="8"/>
  <c r="AX37" i="8" s="1"/>
  <c r="AL33" i="8"/>
  <c r="AY33" i="8" s="1"/>
  <c r="L34" i="8"/>
  <c r="L37" i="8" s="1"/>
  <c r="AL24" i="8"/>
  <c r="AY24" i="8" s="1"/>
  <c r="K43" i="9" s="1"/>
  <c r="AK34" i="8"/>
  <c r="AK37" i="8" s="1"/>
  <c r="AM25" i="8"/>
  <c r="AZ25" i="8" s="1"/>
  <c r="AM27" i="8"/>
  <c r="AZ27" i="8" s="1"/>
  <c r="K13" i="9"/>
  <c r="K31" i="9" s="1"/>
  <c r="I16" i="9"/>
  <c r="I19" i="9" s="1"/>
  <c r="M14" i="9"/>
  <c r="M32" i="9" s="1"/>
  <c r="K11" i="9"/>
  <c r="K29" i="9" s="1"/>
  <c r="L8" i="9"/>
  <c r="L26" i="9" s="1"/>
  <c r="L23" i="9"/>
  <c r="K10" i="9"/>
  <c r="K28" i="9" s="1"/>
  <c r="K9" i="9"/>
  <c r="K27" i="9" s="1"/>
  <c r="K7" i="9"/>
  <c r="K25" i="9" s="1"/>
  <c r="K15" i="9"/>
  <c r="K33" i="9" s="1"/>
  <c r="H34" i="9"/>
  <c r="H37" i="9" s="1"/>
  <c r="I34" i="9"/>
  <c r="I37" i="9" s="1"/>
  <c r="L12" i="9"/>
  <c r="L30" i="9" s="1"/>
  <c r="AL15" i="8"/>
  <c r="AL18" i="8" s="1"/>
  <c r="M15" i="8"/>
  <c r="M18" i="8" s="1"/>
  <c r="O4" i="8"/>
  <c r="AN4" i="8"/>
  <c r="AY5" i="8"/>
  <c r="N5" i="8"/>
  <c r="AM5" i="8"/>
  <c r="AZ5" i="8" s="1"/>
  <c r="AN11" i="8"/>
  <c r="BA11" i="8" s="1"/>
  <c r="O11" i="8"/>
  <c r="AO13" i="8"/>
  <c r="BB13" i="8" s="1"/>
  <c r="P13" i="8"/>
  <c r="N10" i="8"/>
  <c r="AM10" i="8"/>
  <c r="AZ10" i="8" s="1"/>
  <c r="N12" i="8"/>
  <c r="AM12" i="8"/>
  <c r="AZ12" i="8" s="1"/>
  <c r="N8" i="8"/>
  <c r="AM8" i="8"/>
  <c r="AZ8" i="8" s="1"/>
  <c r="N14" i="8"/>
  <c r="AM14" i="8"/>
  <c r="AZ14" i="8" s="1"/>
  <c r="N6" i="8"/>
  <c r="AM6" i="8"/>
  <c r="AZ6" i="8" s="1"/>
  <c r="AM9" i="8"/>
  <c r="AZ9" i="8" s="1"/>
  <c r="N9" i="8"/>
  <c r="O7" i="8"/>
  <c r="AN7" i="8"/>
  <c r="BA7" i="8" s="1"/>
  <c r="D32" i="1" l="1"/>
  <c r="D34" i="1"/>
  <c r="D35" i="1" s="1"/>
  <c r="C32" i="1"/>
  <c r="C34" i="1"/>
  <c r="C35" i="1" s="1"/>
  <c r="H7" i="12"/>
  <c r="I5" i="1"/>
  <c r="K61" i="9"/>
  <c r="L44" i="9"/>
  <c r="L61" i="9" s="1"/>
  <c r="K60" i="9"/>
  <c r="K52" i="9"/>
  <c r="J53" i="9"/>
  <c r="J56" i="9" s="1"/>
  <c r="H7" i="1" s="1"/>
  <c r="O38" i="3" s="1"/>
  <c r="H56" i="9"/>
  <c r="H70" i="9"/>
  <c r="H73" i="9" s="1"/>
  <c r="F9" i="1" s="1"/>
  <c r="F10" i="1" s="1"/>
  <c r="L49" i="9"/>
  <c r="L66" i="9" s="1"/>
  <c r="L47" i="9"/>
  <c r="L64" i="9" s="1"/>
  <c r="L48" i="9"/>
  <c r="L65" i="9" s="1"/>
  <c r="L46" i="9"/>
  <c r="L63" i="9" s="1"/>
  <c r="I70" i="9"/>
  <c r="I73" i="9" s="1"/>
  <c r="G9" i="1" s="1"/>
  <c r="G10" i="1" s="1"/>
  <c r="L45" i="9"/>
  <c r="L62" i="9" s="1"/>
  <c r="M34" i="8"/>
  <c r="M37" i="8" s="1"/>
  <c r="J5" i="1" s="1"/>
  <c r="AM24" i="8"/>
  <c r="AN26" i="8"/>
  <c r="BA26" i="8" s="1"/>
  <c r="AY34" i="8"/>
  <c r="AY37" i="8" s="1"/>
  <c r="AM33" i="8"/>
  <c r="AZ33" i="8" s="1"/>
  <c r="AN28" i="8"/>
  <c r="BA28" i="8" s="1"/>
  <c r="AN25" i="8"/>
  <c r="BA25" i="8" s="1"/>
  <c r="AN29" i="8"/>
  <c r="BA29" i="8" s="1"/>
  <c r="AN30" i="8"/>
  <c r="BA30" i="8" s="1"/>
  <c r="AN27" i="8"/>
  <c r="BA27" i="8" s="1"/>
  <c r="AL34" i="8"/>
  <c r="AL37" i="8" s="1"/>
  <c r="L15" i="9"/>
  <c r="L33" i="9" s="1"/>
  <c r="L6" i="9"/>
  <c r="L24" i="9" s="1"/>
  <c r="L9" i="9"/>
  <c r="L27" i="9" s="1"/>
  <c r="AY15" i="8"/>
  <c r="AY18" i="8" s="1"/>
  <c r="K6" i="9"/>
  <c r="K16" i="9" s="1"/>
  <c r="K19" i="9" s="1"/>
  <c r="N14" i="9"/>
  <c r="N32" i="9" s="1"/>
  <c r="L7" i="9"/>
  <c r="L25" i="9" s="1"/>
  <c r="L13" i="9"/>
  <c r="L31" i="9" s="1"/>
  <c r="L10" i="9"/>
  <c r="L28" i="9" s="1"/>
  <c r="M12" i="9"/>
  <c r="M30" i="9" s="1"/>
  <c r="M8" i="9"/>
  <c r="M26" i="9" s="1"/>
  <c r="L11" i="9"/>
  <c r="AM15" i="8"/>
  <c r="AM18" i="8" s="1"/>
  <c r="AZ15" i="8"/>
  <c r="AZ18" i="8" s="1"/>
  <c r="O6" i="8"/>
  <c r="AN6" i="8"/>
  <c r="AN5" i="8"/>
  <c r="BA5" i="8" s="1"/>
  <c r="O5" i="8"/>
  <c r="AN10" i="8"/>
  <c r="BA10" i="8" s="1"/>
  <c r="O10" i="8"/>
  <c r="O14" i="8"/>
  <c r="AN14" i="8"/>
  <c r="BA14" i="8" s="1"/>
  <c r="AP13" i="8"/>
  <c r="BC13" i="8" s="1"/>
  <c r="Q13" i="8"/>
  <c r="AO4" i="8"/>
  <c r="BB4" i="8" s="1"/>
  <c r="P4" i="8"/>
  <c r="AO7" i="8"/>
  <c r="BB7" i="8" s="1"/>
  <c r="P7" i="8"/>
  <c r="AN8" i="8"/>
  <c r="BA8" i="8" s="1"/>
  <c r="O8" i="8"/>
  <c r="AO11" i="8"/>
  <c r="BB11" i="8" s="1"/>
  <c r="P11" i="8"/>
  <c r="N15" i="8"/>
  <c r="N18" i="8" s="1"/>
  <c r="BA4" i="8"/>
  <c r="O9" i="8"/>
  <c r="AN9" i="8"/>
  <c r="BA9" i="8" s="1"/>
  <c r="O12" i="8"/>
  <c r="AN12" i="8"/>
  <c r="BA12" i="8" s="1"/>
  <c r="J14" i="1" l="1"/>
  <c r="J15" i="1" s="1"/>
  <c r="K3" i="12"/>
  <c r="K5" i="12" s="1"/>
  <c r="K7" i="12" s="1"/>
  <c r="I14" i="1"/>
  <c r="I15" i="1" s="1"/>
  <c r="J3" i="12"/>
  <c r="O39" i="3"/>
  <c r="H23" i="1" s="1"/>
  <c r="H22" i="1" s="1"/>
  <c r="H32" i="1" s="1"/>
  <c r="O44" i="3"/>
  <c r="K53" i="9"/>
  <c r="K56" i="9" s="1"/>
  <c r="I7" i="1" s="1"/>
  <c r="F7" i="1"/>
  <c r="M38" i="3" s="1"/>
  <c r="J70" i="9"/>
  <c r="J73" i="9" s="1"/>
  <c r="H9" i="1" s="1"/>
  <c r="H11" i="1" s="1"/>
  <c r="I53" i="9"/>
  <c r="I56" i="9" s="1"/>
  <c r="G7" i="1" s="1"/>
  <c r="N38" i="3" s="1"/>
  <c r="H20" i="1"/>
  <c r="M49" i="9"/>
  <c r="M66" i="9" s="1"/>
  <c r="M45" i="9"/>
  <c r="M62" i="9" s="1"/>
  <c r="H8" i="1"/>
  <c r="M48" i="9"/>
  <c r="M65" i="9" s="1"/>
  <c r="M44" i="9"/>
  <c r="M61" i="9" s="1"/>
  <c r="M47" i="9"/>
  <c r="M64" i="9" s="1"/>
  <c r="I20" i="1"/>
  <c r="L52" i="9"/>
  <c r="M46" i="9"/>
  <c r="M63" i="9" s="1"/>
  <c r="J20" i="1"/>
  <c r="AO30" i="8"/>
  <c r="BB30" i="8" s="1"/>
  <c r="AN33" i="8"/>
  <c r="BA33" i="8" s="1"/>
  <c r="AO29" i="8"/>
  <c r="BB29" i="8" s="1"/>
  <c r="AO27" i="8"/>
  <c r="BB27" i="8" s="1"/>
  <c r="N46" i="9" s="1"/>
  <c r="AO26" i="8"/>
  <c r="BB26" i="8" s="1"/>
  <c r="N34" i="8"/>
  <c r="N37" i="8" s="1"/>
  <c r="AN24" i="8"/>
  <c r="AM34" i="8"/>
  <c r="AM37" i="8" s="1"/>
  <c r="AZ24" i="8"/>
  <c r="AO25" i="8"/>
  <c r="BB25" i="8" s="1"/>
  <c r="AO28" i="8"/>
  <c r="BB28" i="8" s="1"/>
  <c r="M6" i="9"/>
  <c r="M24" i="9" s="1"/>
  <c r="M13" i="9"/>
  <c r="M31" i="9" s="1"/>
  <c r="N5" i="9"/>
  <c r="N23" i="9" s="1"/>
  <c r="M10" i="9"/>
  <c r="M28" i="9" s="1"/>
  <c r="L29" i="9"/>
  <c r="L34" i="9" s="1"/>
  <c r="L37" i="9" s="1"/>
  <c r="M9" i="9"/>
  <c r="M27" i="9" s="1"/>
  <c r="O14" i="9"/>
  <c r="O32" i="9" s="1"/>
  <c r="L16" i="9"/>
  <c r="L19" i="9" s="1"/>
  <c r="N12" i="9"/>
  <c r="N30" i="9" s="1"/>
  <c r="M5" i="9"/>
  <c r="M15" i="9"/>
  <c r="M33" i="9" s="1"/>
  <c r="M11" i="9"/>
  <c r="M29" i="9" s="1"/>
  <c r="K24" i="9"/>
  <c r="N8" i="9"/>
  <c r="N26" i="9" s="1"/>
  <c r="AN15" i="8"/>
  <c r="AN18" i="8" s="1"/>
  <c r="O15" i="8"/>
  <c r="O18" i="8" s="1"/>
  <c r="AO9" i="8"/>
  <c r="BB9" i="8" s="1"/>
  <c r="P9" i="8"/>
  <c r="Q4" i="8"/>
  <c r="AQ4" i="8" s="1"/>
  <c r="BD4" i="8" s="1"/>
  <c r="AP4" i="8"/>
  <c r="BC4" i="8" s="1"/>
  <c r="P12" i="8"/>
  <c r="AO12" i="8"/>
  <c r="BB12" i="8" s="1"/>
  <c r="AO5" i="8"/>
  <c r="BB5" i="8" s="1"/>
  <c r="P5" i="8"/>
  <c r="BA6" i="8"/>
  <c r="P10" i="8"/>
  <c r="AO10" i="8"/>
  <c r="BB10" i="8" s="1"/>
  <c r="AO6" i="8"/>
  <c r="P6" i="8"/>
  <c r="Q11" i="8"/>
  <c r="AP11" i="8"/>
  <c r="BC11" i="8" s="1"/>
  <c r="AP7" i="8"/>
  <c r="BC7" i="8" s="1"/>
  <c r="Q7" i="8"/>
  <c r="AO8" i="8"/>
  <c r="BB8" i="8" s="1"/>
  <c r="P8" i="8"/>
  <c r="AQ13" i="8"/>
  <c r="AR13" i="8" s="1"/>
  <c r="R13" i="8"/>
  <c r="AO14" i="8"/>
  <c r="BB14" i="8" s="1"/>
  <c r="P14" i="8"/>
  <c r="I8" i="1" l="1"/>
  <c r="P38" i="3"/>
  <c r="J5" i="12"/>
  <c r="N39" i="3"/>
  <c r="G23" i="1" s="1"/>
  <c r="G22" i="1" s="1"/>
  <c r="G32" i="1" s="1"/>
  <c r="N44" i="3"/>
  <c r="M39" i="3"/>
  <c r="M44" i="3"/>
  <c r="K5" i="1"/>
  <c r="H10" i="1"/>
  <c r="H12" i="1"/>
  <c r="H34" i="1"/>
  <c r="H35" i="1" s="1"/>
  <c r="G8" i="1"/>
  <c r="G12" i="1"/>
  <c r="G11" i="1"/>
  <c r="F8" i="1"/>
  <c r="F11" i="1"/>
  <c r="F12" i="1"/>
  <c r="N63" i="9"/>
  <c r="N48" i="9"/>
  <c r="N65" i="9" s="1"/>
  <c r="N45" i="9"/>
  <c r="N62" i="9" s="1"/>
  <c r="M52" i="9"/>
  <c r="N44" i="9"/>
  <c r="N61" i="9" s="1"/>
  <c r="L43" i="9"/>
  <c r="L53" i="9" s="1"/>
  <c r="N49" i="9"/>
  <c r="N66" i="9" s="1"/>
  <c r="N47" i="9"/>
  <c r="N64" i="9" s="1"/>
  <c r="AZ34" i="8"/>
  <c r="AZ37" i="8" s="1"/>
  <c r="AO33" i="8"/>
  <c r="BB33" i="8" s="1"/>
  <c r="AP26" i="8"/>
  <c r="BC26" i="8" s="1"/>
  <c r="O34" i="8"/>
  <c r="O37" i="8" s="1"/>
  <c r="AO24" i="8"/>
  <c r="BB24" i="8" s="1"/>
  <c r="AP28" i="8"/>
  <c r="BC28" i="8" s="1"/>
  <c r="AN34" i="8"/>
  <c r="AN37" i="8" s="1"/>
  <c r="AP30" i="8"/>
  <c r="BC30" i="8" s="1"/>
  <c r="BA24" i="8"/>
  <c r="AP27" i="8"/>
  <c r="BC27" i="8" s="1"/>
  <c r="AP25" i="8"/>
  <c r="BC25" i="8" s="1"/>
  <c r="AP29" i="8"/>
  <c r="BC29" i="8" s="1"/>
  <c r="N13" i="9"/>
  <c r="N31" i="9" s="1"/>
  <c r="O5" i="9"/>
  <c r="BA15" i="8"/>
  <c r="BA18" i="8" s="1"/>
  <c r="M7" i="9"/>
  <c r="M16" i="9" s="1"/>
  <c r="M19" i="9" s="1"/>
  <c r="N9" i="9"/>
  <c r="N27" i="9" s="1"/>
  <c r="O12" i="9"/>
  <c r="O30" i="9" s="1"/>
  <c r="N6" i="9"/>
  <c r="N24" i="9" s="1"/>
  <c r="O8" i="9"/>
  <c r="O26" i="9" s="1"/>
  <c r="N15" i="9"/>
  <c r="N33" i="9" s="1"/>
  <c r="K34" i="9"/>
  <c r="K37" i="9" s="1"/>
  <c r="N11" i="9"/>
  <c r="N29" i="9" s="1"/>
  <c r="N10" i="9"/>
  <c r="N28" i="9" s="1"/>
  <c r="M23" i="9"/>
  <c r="AO15" i="8"/>
  <c r="AO18" i="8" s="1"/>
  <c r="BD13" i="8"/>
  <c r="AP6" i="8"/>
  <c r="BC6" i="8" s="1"/>
  <c r="Q6" i="8"/>
  <c r="AQ7" i="8"/>
  <c r="AR7" i="8" s="1"/>
  <c r="R7" i="8"/>
  <c r="BB6" i="8"/>
  <c r="AP10" i="8"/>
  <c r="BC10" i="8" s="1"/>
  <c r="Q10" i="8"/>
  <c r="Q9" i="8"/>
  <c r="AP9" i="8"/>
  <c r="BC9" i="8" s="1"/>
  <c r="Q8" i="8"/>
  <c r="AP8" i="8"/>
  <c r="BC8" i="8" s="1"/>
  <c r="Q14" i="8"/>
  <c r="AP14" i="8"/>
  <c r="BC14" i="8" s="1"/>
  <c r="Q5" i="8"/>
  <c r="AP5" i="8"/>
  <c r="BC5" i="8" s="1"/>
  <c r="R4" i="8"/>
  <c r="AQ11" i="8"/>
  <c r="AR11" i="8" s="1"/>
  <c r="R11" i="8"/>
  <c r="Q12" i="8"/>
  <c r="AP12" i="8"/>
  <c r="BC12" i="8" s="1"/>
  <c r="P15" i="8"/>
  <c r="P18" i="8" s="1"/>
  <c r="G34" i="1" l="1"/>
  <c r="G35" i="1" s="1"/>
  <c r="J7" i="12"/>
  <c r="P39" i="3"/>
  <c r="I23" i="1" s="1"/>
  <c r="I22" i="1" s="1"/>
  <c r="K14" i="1"/>
  <c r="K15" i="1" s="1"/>
  <c r="L3" i="12"/>
  <c r="F23" i="1"/>
  <c r="L5" i="1"/>
  <c r="K20" i="1"/>
  <c r="N52" i="9"/>
  <c r="O48" i="9"/>
  <c r="O65" i="9" s="1"/>
  <c r="O46" i="9"/>
  <c r="O63" i="9" s="1"/>
  <c r="O49" i="9"/>
  <c r="O66" i="9" s="1"/>
  <c r="O44" i="9"/>
  <c r="O61" i="9" s="1"/>
  <c r="O47" i="9"/>
  <c r="O64" i="9" s="1"/>
  <c r="N43" i="9"/>
  <c r="L60" i="9"/>
  <c r="L56" i="9"/>
  <c r="J7" i="1" s="1"/>
  <c r="Q38" i="3" s="1"/>
  <c r="K70" i="9"/>
  <c r="K73" i="9" s="1"/>
  <c r="I9" i="1" s="1"/>
  <c r="BA34" i="8"/>
  <c r="BA37" i="8" s="1"/>
  <c r="M43" i="9"/>
  <c r="O45" i="9"/>
  <c r="O62" i="9" s="1"/>
  <c r="AQ28" i="8"/>
  <c r="AR28" i="8" s="1"/>
  <c r="R28" i="8"/>
  <c r="AQ25" i="8"/>
  <c r="AR25" i="8" s="1"/>
  <c r="R25" i="8"/>
  <c r="BB34" i="8"/>
  <c r="BB37" i="8" s="1"/>
  <c r="P34" i="8"/>
  <c r="P37" i="8" s="1"/>
  <c r="M5" i="1" s="1"/>
  <c r="AP24" i="8"/>
  <c r="AP33" i="8"/>
  <c r="BC33" i="8" s="1"/>
  <c r="AO34" i="8"/>
  <c r="AO37" i="8" s="1"/>
  <c r="AQ27" i="8"/>
  <c r="AR27" i="8" s="1"/>
  <c r="R27" i="8"/>
  <c r="AQ29" i="8"/>
  <c r="AR29" i="8" s="1"/>
  <c r="R29" i="8"/>
  <c r="AQ30" i="8"/>
  <c r="AR30" i="8" s="1"/>
  <c r="R30" i="8"/>
  <c r="AQ26" i="8"/>
  <c r="AR26" i="8" s="1"/>
  <c r="R26" i="8"/>
  <c r="O7" i="9"/>
  <c r="O25" i="9" s="1"/>
  <c r="O9" i="9"/>
  <c r="O27" i="9" s="1"/>
  <c r="BE13" i="8"/>
  <c r="P14" i="9"/>
  <c r="Q14" i="9" s="1"/>
  <c r="M25" i="9"/>
  <c r="M34" i="9" s="1"/>
  <c r="M37" i="9" s="1"/>
  <c r="O13" i="9"/>
  <c r="O31" i="9" s="1"/>
  <c r="O11" i="9"/>
  <c r="O29" i="9" s="1"/>
  <c r="O23" i="9"/>
  <c r="BB15" i="8"/>
  <c r="BB18" i="8" s="1"/>
  <c r="N7" i="9"/>
  <c r="N25" i="9" s="1"/>
  <c r="N34" i="9" s="1"/>
  <c r="N37" i="9" s="1"/>
  <c r="O15" i="9"/>
  <c r="O33" i="9" s="1"/>
  <c r="O10" i="9"/>
  <c r="O28" i="9" s="1"/>
  <c r="P5" i="9"/>
  <c r="Q5" i="9" s="1"/>
  <c r="O6" i="9"/>
  <c r="BD7" i="8"/>
  <c r="Q15" i="8"/>
  <c r="Q18" i="8" s="1"/>
  <c r="BC15" i="8"/>
  <c r="BC18" i="8" s="1"/>
  <c r="BE4" i="8"/>
  <c r="AP15" i="8"/>
  <c r="AP18" i="8" s="1"/>
  <c r="AQ5" i="8"/>
  <c r="AR5" i="8" s="1"/>
  <c r="R5" i="8"/>
  <c r="AQ6" i="8"/>
  <c r="AR6" i="8" s="1"/>
  <c r="R6" i="8"/>
  <c r="AQ10" i="8"/>
  <c r="AR10" i="8" s="1"/>
  <c r="R10" i="8"/>
  <c r="AQ8" i="8"/>
  <c r="AR8" i="8" s="1"/>
  <c r="R8" i="8"/>
  <c r="AQ9" i="8"/>
  <c r="AR9" i="8" s="1"/>
  <c r="R9" i="8"/>
  <c r="BD11" i="8"/>
  <c r="AQ12" i="8"/>
  <c r="AR12" i="8" s="1"/>
  <c r="R12" i="8"/>
  <c r="AR4" i="8"/>
  <c r="AQ14" i="8"/>
  <c r="AR14" i="8" s="1"/>
  <c r="R14" i="8"/>
  <c r="I32" i="1" l="1"/>
  <c r="Q39" i="3"/>
  <c r="J23" i="1" s="1"/>
  <c r="J22" i="1" s="1"/>
  <c r="J32" i="1" s="1"/>
  <c r="F22" i="1"/>
  <c r="M14" i="1"/>
  <c r="M15" i="1" s="1"/>
  <c r="N3" i="12"/>
  <c r="N5" i="12" s="1"/>
  <c r="N7" i="12" s="1"/>
  <c r="L14" i="1"/>
  <c r="L15" i="1" s="1"/>
  <c r="M3" i="12"/>
  <c r="M5" i="12" s="1"/>
  <c r="M7" i="12" s="1"/>
  <c r="L5" i="12"/>
  <c r="P44" i="3"/>
  <c r="M60" i="9"/>
  <c r="M70" i="9" s="1"/>
  <c r="M73" i="9" s="1"/>
  <c r="K9" i="1" s="1"/>
  <c r="K10" i="1" s="1"/>
  <c r="M53" i="9"/>
  <c r="O16" i="9"/>
  <c r="O19" i="9" s="1"/>
  <c r="I12" i="1"/>
  <c r="I11" i="1"/>
  <c r="I34" i="1"/>
  <c r="I35" i="1" s="1"/>
  <c r="I10" i="1"/>
  <c r="J8" i="1"/>
  <c r="L70" i="9"/>
  <c r="L73" i="9" s="1"/>
  <c r="J9" i="1" s="1"/>
  <c r="O52" i="9"/>
  <c r="N60" i="9"/>
  <c r="L20" i="1"/>
  <c r="R18" i="8"/>
  <c r="BF18" i="8" s="1"/>
  <c r="BD28" i="8"/>
  <c r="BD27" i="8"/>
  <c r="BD29" i="8"/>
  <c r="BD30" i="8"/>
  <c r="BD25" i="8"/>
  <c r="BD26" i="8"/>
  <c r="AQ33" i="8"/>
  <c r="AR33" i="8" s="1"/>
  <c r="R33" i="8"/>
  <c r="AQ24" i="8"/>
  <c r="Q34" i="8"/>
  <c r="Q37" i="8" s="1"/>
  <c r="R37" i="8" s="1"/>
  <c r="R24" i="8"/>
  <c r="AP34" i="8"/>
  <c r="AP37" i="8" s="1"/>
  <c r="BC24" i="8"/>
  <c r="BE11" i="8"/>
  <c r="P12" i="9"/>
  <c r="Q12" i="9" s="1"/>
  <c r="P32" i="9"/>
  <c r="Q32" i="9" s="1"/>
  <c r="N16" i="9"/>
  <c r="N19" i="9" s="1"/>
  <c r="BE7" i="8"/>
  <c r="P8" i="9"/>
  <c r="Q8" i="9" s="1"/>
  <c r="O24" i="9"/>
  <c r="O34" i="9" s="1"/>
  <c r="O37" i="9" s="1"/>
  <c r="P23" i="9"/>
  <c r="BD6" i="8"/>
  <c r="BD9" i="8"/>
  <c r="R15" i="8"/>
  <c r="BD10" i="8"/>
  <c r="BD8" i="8"/>
  <c r="BD5" i="8"/>
  <c r="BD12" i="8"/>
  <c r="AQ15" i="8"/>
  <c r="AQ18" i="8" s="1"/>
  <c r="BD14" i="8"/>
  <c r="Q44" i="3" l="1"/>
  <c r="L7" i="12"/>
  <c r="F32" i="1"/>
  <c r="F34" i="1"/>
  <c r="F35" i="1" s="1"/>
  <c r="N5" i="1"/>
  <c r="J10" i="1"/>
  <c r="J11" i="1"/>
  <c r="J12" i="1"/>
  <c r="J34" i="1"/>
  <c r="J35" i="1" s="1"/>
  <c r="N53" i="9"/>
  <c r="N56" i="9" s="1"/>
  <c r="L7" i="1" s="1"/>
  <c r="S38" i="3" s="1"/>
  <c r="M56" i="9"/>
  <c r="K7" i="1" s="1"/>
  <c r="R38" i="3" s="1"/>
  <c r="BE26" i="8"/>
  <c r="P45" i="9"/>
  <c r="Q45" i="9" s="1"/>
  <c r="N70" i="9"/>
  <c r="N73" i="9" s="1"/>
  <c r="L9" i="1" s="1"/>
  <c r="L10" i="1" s="1"/>
  <c r="BE25" i="8"/>
  <c r="P44" i="9"/>
  <c r="Q44" i="9" s="1"/>
  <c r="M20" i="1"/>
  <c r="BE30" i="8"/>
  <c r="P49" i="9"/>
  <c r="Q49" i="9" s="1"/>
  <c r="BE28" i="8"/>
  <c r="P47" i="9"/>
  <c r="Q47" i="9" s="1"/>
  <c r="BE29" i="8"/>
  <c r="P48" i="9"/>
  <c r="Q48" i="9" s="1"/>
  <c r="BC34" i="8"/>
  <c r="BC37" i="8" s="1"/>
  <c r="O43" i="9"/>
  <c r="BE27" i="8"/>
  <c r="P46" i="9"/>
  <c r="Q46" i="9" s="1"/>
  <c r="R34" i="8"/>
  <c r="AQ34" i="8"/>
  <c r="AQ37" i="8" s="1"/>
  <c r="AR37" i="8" s="1"/>
  <c r="AR24" i="8"/>
  <c r="BD24" i="8"/>
  <c r="BD33" i="8"/>
  <c r="BE12" i="8"/>
  <c r="P13" i="9"/>
  <c r="Q13" i="9" s="1"/>
  <c r="P6" i="9"/>
  <c r="P24" i="9" s="1"/>
  <c r="Q24" i="9" s="1"/>
  <c r="Q23" i="9"/>
  <c r="BE8" i="8"/>
  <c r="P9" i="9"/>
  <c r="Q9" i="9" s="1"/>
  <c r="BE10" i="8"/>
  <c r="P11" i="9"/>
  <c r="Q11" i="9" s="1"/>
  <c r="P30" i="9"/>
  <c r="Q30" i="9" s="1"/>
  <c r="BE9" i="8"/>
  <c r="P10" i="9"/>
  <c r="Q10" i="9" s="1"/>
  <c r="BE6" i="8"/>
  <c r="P7" i="9"/>
  <c r="Q7" i="9" s="1"/>
  <c r="BE14" i="8"/>
  <c r="P15" i="9"/>
  <c r="Q15" i="9" s="1"/>
  <c r="P26" i="9"/>
  <c r="Q26" i="9" s="1"/>
  <c r="AR18" i="8"/>
  <c r="AR15" i="8"/>
  <c r="BE5" i="8"/>
  <c r="BD15" i="8"/>
  <c r="BD18" i="8" s="1"/>
  <c r="R39" i="3" l="1"/>
  <c r="R44" i="3" s="1"/>
  <c r="N14" i="1"/>
  <c r="N15" i="1" s="1"/>
  <c r="O15" i="1" s="1"/>
  <c r="O3" i="12"/>
  <c r="S39" i="3"/>
  <c r="L23" i="1" s="1"/>
  <c r="L22" i="1" s="1"/>
  <c r="L32" i="1" s="1"/>
  <c r="P61" i="9"/>
  <c r="Q61" i="9" s="1"/>
  <c r="P25" i="9"/>
  <c r="Q25" i="9" s="1"/>
  <c r="L11" i="1"/>
  <c r="L8" i="1"/>
  <c r="L12" i="1"/>
  <c r="K8" i="1"/>
  <c r="K11" i="1"/>
  <c r="K12" i="1"/>
  <c r="P64" i="9"/>
  <c r="Q64" i="9" s="1"/>
  <c r="P62" i="9"/>
  <c r="Q62" i="9" s="1"/>
  <c r="BE33" i="8"/>
  <c r="P52" i="9"/>
  <c r="Q52" i="9" s="1"/>
  <c r="P43" i="9"/>
  <c r="P65" i="9"/>
  <c r="Q65" i="9" s="1"/>
  <c r="P63" i="9"/>
  <c r="Q63" i="9" s="1"/>
  <c r="O60" i="9"/>
  <c r="P66" i="9"/>
  <c r="Q66" i="9" s="1"/>
  <c r="BF37" i="8"/>
  <c r="BD34" i="8"/>
  <c r="BD37" i="8" s="1"/>
  <c r="BE37" i="8" s="1"/>
  <c r="BE24" i="8"/>
  <c r="AR34" i="8"/>
  <c r="P27" i="9"/>
  <c r="Q27" i="9" s="1"/>
  <c r="P33" i="9"/>
  <c r="Q33" i="9" s="1"/>
  <c r="P31" i="9"/>
  <c r="Q31" i="9" s="1"/>
  <c r="P28" i="9"/>
  <c r="Q28" i="9" s="1"/>
  <c r="P16" i="9"/>
  <c r="Q6" i="9"/>
  <c r="P29" i="9"/>
  <c r="Q29" i="9" s="1"/>
  <c r="BE18" i="8"/>
  <c r="BE15" i="8"/>
  <c r="S44" i="3" l="1"/>
  <c r="O14" i="1"/>
  <c r="L34" i="1"/>
  <c r="L35" i="1" s="1"/>
  <c r="K23" i="1"/>
  <c r="O5" i="12"/>
  <c r="P3" i="12"/>
  <c r="P19" i="9"/>
  <c r="Q19" i="9" s="1"/>
  <c r="Q16" i="9"/>
  <c r="Q43" i="9"/>
  <c r="P60" i="9"/>
  <c r="O53" i="9"/>
  <c r="O56" i="9" s="1"/>
  <c r="M7" i="1" s="1"/>
  <c r="T38" i="3" s="1"/>
  <c r="O70" i="9"/>
  <c r="O73" i="9" s="1"/>
  <c r="M9" i="1" s="1"/>
  <c r="M10" i="1" s="1"/>
  <c r="O5" i="1"/>
  <c r="F4" i="11" s="1"/>
  <c r="N20" i="1"/>
  <c r="BE34" i="8"/>
  <c r="P34" i="9"/>
  <c r="P37" i="9" s="1"/>
  <c r="K22" i="1" l="1"/>
  <c r="T39" i="3"/>
  <c r="O7" i="12"/>
  <c r="P7" i="12" s="1"/>
  <c r="P5" i="12"/>
  <c r="F6" i="11" s="1"/>
  <c r="M11" i="1"/>
  <c r="M8" i="1"/>
  <c r="M12" i="1"/>
  <c r="Q60" i="9"/>
  <c r="P53" i="9"/>
  <c r="P56" i="9" s="1"/>
  <c r="N7" i="1" s="1"/>
  <c r="U38" i="3" s="1"/>
  <c r="E10" i="10"/>
  <c r="E34" i="10"/>
  <c r="E35" i="10" s="1"/>
  <c r="E20" i="10"/>
  <c r="E32" i="10"/>
  <c r="E8" i="10"/>
  <c r="E11" i="10"/>
  <c r="O20" i="1"/>
  <c r="Q37" i="9"/>
  <c r="Q34" i="9"/>
  <c r="F10" i="11" l="1"/>
  <c r="F11" i="11" s="1"/>
  <c r="F8" i="11"/>
  <c r="F7" i="11"/>
  <c r="M23" i="1"/>
  <c r="M22" i="1" s="1"/>
  <c r="O22" i="1" s="1"/>
  <c r="U39" i="3"/>
  <c r="N23" i="1" s="1"/>
  <c r="K32" i="1"/>
  <c r="K34" i="1"/>
  <c r="K35" i="1" s="1"/>
  <c r="V38" i="3"/>
  <c r="T44" i="3"/>
  <c r="Q56" i="9"/>
  <c r="P70" i="9"/>
  <c r="Q53" i="9"/>
  <c r="U44" i="3" l="1"/>
  <c r="O23" i="1"/>
  <c r="V39" i="3"/>
  <c r="M32" i="1"/>
  <c r="M34" i="1"/>
  <c r="M35" i="1" s="1"/>
  <c r="V44" i="3"/>
  <c r="P73" i="9"/>
  <c r="N9" i="1" s="1"/>
  <c r="N8" i="1"/>
  <c r="O7" i="1"/>
  <c r="F5" i="11" s="1"/>
  <c r="Q70" i="9"/>
  <c r="N32" i="1" l="1"/>
  <c r="O32" i="1"/>
  <c r="O9" i="1"/>
  <c r="O10" i="1" s="1"/>
  <c r="N10" i="1"/>
  <c r="N34" i="1"/>
  <c r="N35" i="1" s="1"/>
  <c r="N11" i="1"/>
  <c r="Q73" i="9"/>
  <c r="N12" i="1"/>
  <c r="O12" i="1" s="1"/>
  <c r="O8" i="1"/>
  <c r="O34" i="1" l="1"/>
  <c r="O35" i="1" s="1"/>
  <c r="O11" i="1"/>
</calcChain>
</file>

<file path=xl/sharedStrings.xml><?xml version="1.0" encoding="utf-8"?>
<sst xmlns="http://schemas.openxmlformats.org/spreadsheetml/2006/main" count="551" uniqueCount="144">
  <si>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</si>
  <si>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</si>
  <si>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</si>
  <si>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</si>
  <si>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</si>
  <si>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</si>
  <si>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</si>
  <si>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</si>
  <si>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</si>
  <si>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</si>
  <si>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</si>
  <si>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</si>
  <si>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TOTAL</t>
  </si>
  <si>
    <t>Marketing + PR</t>
  </si>
  <si>
    <t>HR + training</t>
  </si>
  <si>
    <t>Backoffice</t>
  </si>
  <si>
    <t>Finance, Legal, Accounting</t>
  </si>
  <si>
    <t>IT</t>
  </si>
  <si>
    <t>Others</t>
  </si>
  <si>
    <t>PROFIT</t>
  </si>
  <si>
    <t>PROFIT margin</t>
  </si>
  <si>
    <t>Výzkum a vývoj</t>
  </si>
  <si>
    <t>Nájem</t>
  </si>
  <si>
    <t>Výnosy</t>
  </si>
  <si>
    <t>Přímé mzdy</t>
  </si>
  <si>
    <t>Přímé mzdy %</t>
  </si>
  <si>
    <t>Přímé náklady - ostatní</t>
  </si>
  <si>
    <t>Přímé náklady - ostatní %</t>
  </si>
  <si>
    <t>Hrubá marže %</t>
  </si>
  <si>
    <t>Výnosy - One off + přefakturace</t>
  </si>
  <si>
    <t>Náklady - One off + přefakturace</t>
  </si>
  <si>
    <t>Marketing and Obchod and BD</t>
  </si>
  <si>
    <t>Obchod + Business Development</t>
  </si>
  <si>
    <t>% z výnosů</t>
  </si>
  <si>
    <t>% z Výnosů</t>
  </si>
  <si>
    <t>Režijní náklady</t>
  </si>
  <si>
    <t>Položka</t>
  </si>
  <si>
    <t>FINANČNÍ PLÁN KLR s.r.o. 2025</t>
  </si>
  <si>
    <t>Monthly average</t>
  </si>
  <si>
    <t>Annual growth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</si>
  <si>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</si>
  <si>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</si>
  <si>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</si>
  <si>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</si>
  <si>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</si>
  <si>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</si>
  <si>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</si>
  <si>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</si>
  <si>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</si>
  <si>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</si>
  <si>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</si>
  <si>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</si>
  <si>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FY</t>
  </si>
  <si>
    <t xml:space="preserve">MoM </t>
  </si>
  <si>
    <t>Revenue YoY</t>
  </si>
  <si>
    <t>Seasonality factor</t>
  </si>
  <si>
    <t>Total 1</t>
  </si>
  <si>
    <t>Předpoklady</t>
  </si>
  <si>
    <t>Zákazník 1 / Produkt 1</t>
  </si>
  <si>
    <t>Zákazník 2 / Produkt 2</t>
  </si>
  <si>
    <t>Zákazník 3 / Produkt 3</t>
  </si>
  <si>
    <t>Zákazník 4 / Produkt 4</t>
  </si>
  <si>
    <t>Zákazník 5 / Produkt 5</t>
  </si>
  <si>
    <t>Zákazník 6 / Produkt 6</t>
  </si>
  <si>
    <t>Zákazník 7 / Produkt 7</t>
  </si>
  <si>
    <t>Zákazník 8 / Produkt 8</t>
  </si>
  <si>
    <t>Zákazník 9 / Produkt 9</t>
  </si>
  <si>
    <t>Zákazník 10 / Produkt 10</t>
  </si>
  <si>
    <t>Ostatní zákazníci/produkty</t>
  </si>
  <si>
    <t>Total před sezóností</t>
  </si>
  <si>
    <t>Výnosové plánování - stávající zákazníci</t>
  </si>
  <si>
    <t>Růst</t>
  </si>
  <si>
    <t>Typy</t>
  </si>
  <si>
    <t>Hrubá marže</t>
  </si>
  <si>
    <t>Přímé náklady Total</t>
  </si>
  <si>
    <t>Výnosové plánování - nový zákazníci</t>
  </si>
  <si>
    <t>Customer care</t>
  </si>
  <si>
    <t>Přímé mzdy - stávající zákazníci</t>
  </si>
  <si>
    <t>Ostatní přímé náklady - stávající zákaz níci</t>
  </si>
  <si>
    <t>Přímé mzdy - nový zákazníci</t>
  </si>
  <si>
    <t>Ostatní přímé náklady -  nový zákazníci</t>
  </si>
  <si>
    <t>Churn rate</t>
  </si>
  <si>
    <t>Management and admin</t>
  </si>
  <si>
    <t>Pozice</t>
  </si>
  <si>
    <t>CEO</t>
  </si>
  <si>
    <t>Chief Operation Officer</t>
  </si>
  <si>
    <t>Finacial Manager</t>
  </si>
  <si>
    <t>HR Manager</t>
  </si>
  <si>
    <t>iOS Developer #1</t>
  </si>
  <si>
    <t>iOS Developer #2</t>
  </si>
  <si>
    <t>Android Developer #1</t>
  </si>
  <si>
    <t>Android Developer #2</t>
  </si>
  <si>
    <t>Backend Developer #1</t>
  </si>
  <si>
    <t>Backend Developer #2</t>
  </si>
  <si>
    <t>Frontend Developer</t>
  </si>
  <si>
    <t>Sales Manager #2</t>
  </si>
  <si>
    <t>Sales Manager #3</t>
  </si>
  <si>
    <t>Sales Manager #4</t>
  </si>
  <si>
    <t>Digital Marketing Manager #2</t>
  </si>
  <si>
    <t>Digital Marketing Manager #3</t>
  </si>
  <si>
    <t>Digital Marketing Manager #4</t>
  </si>
  <si>
    <t>Technical Support Team</t>
  </si>
  <si>
    <t>PY</t>
  </si>
  <si>
    <t>Category</t>
  </si>
  <si>
    <t>Management a admin</t>
  </si>
  <si>
    <t>Project manager</t>
  </si>
  <si>
    <t>CMO</t>
  </si>
  <si>
    <t>CSO</t>
  </si>
  <si>
    <t>Assistant</t>
  </si>
  <si>
    <t>Teamleader</t>
  </si>
  <si>
    <t>Klientské hodiny</t>
  </si>
  <si>
    <t>Utilizace</t>
  </si>
  <si>
    <t>Průměrná výnosová hodinovka</t>
  </si>
  <si>
    <t>Průměrná nákladová hodinovka</t>
  </si>
  <si>
    <t>Průměrná utilizace</t>
  </si>
  <si>
    <t>Časový fond</t>
  </si>
  <si>
    <t>Počet ZAM na projektech</t>
  </si>
  <si>
    <t>PY/monthly</t>
  </si>
  <si>
    <t>Průměrná výn. hodinovka</t>
  </si>
  <si>
    <t>Počet lidí - přímé mzdy</t>
  </si>
  <si>
    <t>Souhrn</t>
  </si>
  <si>
    <t>Total</t>
  </si>
  <si>
    <t>Total/Průměr</t>
  </si>
  <si>
    <t>MARKETING</t>
  </si>
  <si>
    <t>Výkonostní marketing</t>
  </si>
  <si>
    <t>Google Ads</t>
  </si>
  <si>
    <t>Obsahový marketing</t>
  </si>
  <si>
    <t>Copywritter</t>
  </si>
  <si>
    <t>Influenceři</t>
  </si>
  <si>
    <t>Podcast</t>
  </si>
  <si>
    <t>CELKEM</t>
  </si>
  <si>
    <t>Accounts</t>
  </si>
  <si>
    <t>521.100</t>
  </si>
  <si>
    <t>521.200</t>
  </si>
  <si>
    <t>521.300</t>
  </si>
  <si>
    <t>521.400</t>
  </si>
  <si>
    <t>521.500</t>
  </si>
  <si>
    <t>Marketingová strategie - revize</t>
  </si>
  <si>
    <t>Agentura - správa kampaní</t>
  </si>
  <si>
    <t>FB, Instagram, Linkedin</t>
  </si>
  <si>
    <t>Yearly value</t>
  </si>
  <si>
    <t>Přímé mzdy - utilized</t>
  </si>
  <si>
    <t>Přímé mzdy - non-utilized</t>
  </si>
  <si>
    <t>Historical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</si>
</sst>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"/>
  </numFmts>
  <fonts count="29" x14ac:knownFonts="1">
    <font>
      <sz val="11"/>
      <color theme="1"/>
      <name val="Aptos Narrow"/>
      <scheme val="minor"/>
    </font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i/>
      <sz val="9"/>
      <color theme="1"/>
      <name val="Aptos Narrow"/>
      <family val="2"/>
      <charset val="238"/>
      <scheme val="minor"/>
    </font>
    <font>
      <b/>
      <u/>
      <sz val="9"/>
      <color theme="1"/>
      <name val="Aptos Narrow"/>
      <family val="2"/>
      <charset val="238"/>
      <scheme val="minor"/>
    </font>
    <font>
      <b/>
      <i/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0"/>
      <color theme="1"/>
      <name val="Aptos Narrow"/>
      <family val="2"/>
      <charset val="238"/>
      <scheme val="minor"/>
    </font>
    <font>
      <b/>
      <sz val="11"/>
      <color theme="0"/>
      <name val="Yu Gothic UI"/>
      <family val="2"/>
    </font>
    <font>
      <sz val="11"/>
      <color theme="0"/>
      <name val="Yu Gothic UI"/>
      <family val="2"/>
    </font>
    <font>
      <b/>
      <sz val="9"/>
      <name val="Yu Gothic UI"/>
      <family val="2"/>
    </font>
    <font>
      <sz val="11"/>
      <color theme="1"/>
      <name val="Yu Gothic UI"/>
      <family val="2"/>
    </font>
    <font>
      <b/>
      <sz val="9"/>
      <color theme="1"/>
      <name val="Yu Gothic UI"/>
      <family val="2"/>
    </font>
    <font>
      <b/>
      <sz val="11"/>
      <color theme="1"/>
      <name val="Aptos Narrow"/>
      <family val="2"/>
      <scheme val="minor"/>
    </font>
    <font>
      <sz val="9"/>
      <color theme="1"/>
      <name val="Yu Gothic UI"/>
      <family val="2"/>
    </font>
    <font>
      <i/>
      <sz val="8"/>
      <color theme="1"/>
      <name val="Yu Gothic UI"/>
      <family val="2"/>
    </font>
    <font>
      <sz val="8"/>
      <color theme="1"/>
      <name val="Aptos Narrow"/>
      <family val="2"/>
      <scheme val="minor"/>
    </font>
    <font>
      <sz val="8"/>
      <color theme="1"/>
      <name val="Yu Gothic UI"/>
      <family val="2"/>
    </font>
    <font>
      <b/>
      <sz val="8"/>
      <color theme="1"/>
      <name val="Aptos Narrow"/>
      <family val="2"/>
      <scheme val="minor"/>
    </font>
    <font>
      <b/>
      <sz val="8"/>
      <name val="Yu Gothic UI"/>
      <family val="2"/>
    </font>
    <font>
      <b/>
      <sz val="8"/>
      <color theme="0"/>
      <name val="Yu Gothic UI"/>
      <family val="2"/>
    </font>
    <font>
      <b/>
      <sz val="8"/>
      <color theme="1"/>
      <name val="Yu Gothic UI"/>
      <family val="2"/>
    </font>
    <font>
      <i/>
      <sz val="9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name val="Aptos Narrow"/>
      <family val="2"/>
      <scheme val="minor"/>
    </font>
    <font>
      <sz val="20"/>
      <color theme="1"/>
      <name val="Aptos Narrow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FAFC"/>
        <bgColor indexed="64"/>
      </patternFill>
    </fill>
    <fill>
      <patternFill patternType="solid">
        <fgColor rgb="FFC0F0F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70C0"/>
      </bottom>
      <diagonal/>
    </border>
    <border>
      <left style="hair">
        <color theme="4" tint="0.39991454817346722"/>
      </left>
      <right/>
      <top style="hair">
        <color theme="4" tint="0.39991454817346722"/>
      </top>
      <bottom style="hair">
        <color theme="4" tint="0.39991454817346722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hair">
        <color theme="4" tint="0.39985351115451523"/>
      </bottom>
      <diagonal/>
    </border>
    <border>
      <left/>
      <right/>
      <top style="thin">
        <color rgb="FF5890EA"/>
      </top>
      <bottom style="thin">
        <color rgb="FF5890EA"/>
      </bottom>
      <diagonal/>
    </border>
    <border>
      <left/>
      <right/>
      <top style="hair">
        <color theme="4" tint="0.39991454817346722"/>
      </top>
      <bottom style="hair">
        <color theme="4" tint="0.39991454817346722"/>
      </bottom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/>
      <right style="medium">
        <color indexed="64"/>
      </right>
      <top/>
      <bottom style="medium">
        <color rgb="FF0070C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theme="4" tint="0.39991454817346722"/>
      </top>
      <bottom style="hair">
        <color theme="4" tint="0.39991454817346722"/>
      </bottom>
      <diagonal/>
    </border>
    <border>
      <left style="hair">
        <color theme="4" tint="0.39988402966399123"/>
      </left>
      <right style="medium">
        <color indexed="64"/>
      </right>
      <top style="hair">
        <color theme="4" tint="0.39988402966399123"/>
      </top>
      <bottom style="hair">
        <color theme="4" tint="0.39988402966399123"/>
      </bottom>
      <diagonal/>
    </border>
    <border>
      <left style="medium">
        <color indexed="64"/>
      </left>
      <right style="thin">
        <color theme="0" tint="-0.14996795556505021"/>
      </right>
      <top style="thin">
        <color rgb="FF5890EA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rgb="FF5890EA"/>
      </top>
      <bottom style="medium">
        <color indexed="64"/>
      </bottom>
      <diagonal/>
    </border>
    <border>
      <left/>
      <right style="medium">
        <color indexed="64"/>
      </right>
      <top style="thin">
        <color rgb="FF5890EA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5890EA"/>
      </top>
      <bottom style="medium">
        <color indexed="64"/>
      </bottom>
      <diagonal/>
    </border>
    <border>
      <left style="medium">
        <color indexed="64"/>
      </left>
      <right/>
      <top style="thin">
        <color rgb="FF5890EA"/>
      </top>
      <bottom style="medium">
        <color indexed="64"/>
      </bottom>
      <diagonal/>
    </border>
    <border>
      <left/>
      <right/>
      <top style="thin">
        <color rgb="FF5890EA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 tint="0.39988402966399123"/>
      </top>
      <bottom style="hair">
        <color theme="4" tint="0.39988402966399123"/>
      </bottom>
      <diagonal/>
    </border>
    <border>
      <left style="medium">
        <color indexed="64"/>
      </left>
      <right style="hair">
        <color theme="4" tint="0.39985351115451523"/>
      </right>
      <top style="hair">
        <color theme="4" tint="0.39985351115451523"/>
      </top>
      <bottom style="hair">
        <color theme="4" tint="0.39985351115451523"/>
      </bottom>
      <diagonal/>
    </border>
    <border>
      <left style="hair">
        <color theme="4" tint="0.39985351115451523"/>
      </left>
      <right style="medium">
        <color indexed="64"/>
      </right>
      <top style="hair">
        <color theme="4" tint="0.39985351115451523"/>
      </top>
      <bottom style="hair">
        <color theme="4" tint="0.399853511154515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884029663991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 tint="0.39988402966399123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4" tint="0.39991454817346722"/>
      </bottom>
      <diagonal/>
    </border>
    <border>
      <left style="hair">
        <color theme="4" tint="0.39991454817346722"/>
      </left>
      <right/>
      <top/>
      <bottom style="hair">
        <color theme="4" tint="0.399914548173467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234">
    <xf numFmtId="0" fontId="0" fillId="0" borderId="0" xfId="0"/>
    <xf numFmtId="0" fontId="2" fillId="0" borderId="0" xfId="0" applyFont="1"/>
    <xf numFmtId="0" fontId="3" fillId="2" borderId="5" xfId="0" applyFont="1" applyFill="1" applyBorder="1"/>
    <xf numFmtId="3" fontId="3" fillId="2" borderId="6" xfId="0" applyNumberFormat="1" applyFont="1" applyFill="1" applyBorder="1"/>
    <xf numFmtId="3" fontId="3" fillId="2" borderId="5" xfId="0" applyNumberFormat="1" applyFont="1" applyFill="1" applyBorder="1"/>
    <xf numFmtId="0" fontId="3" fillId="0" borderId="0" xfId="0" applyFont="1"/>
    <xf numFmtId="0" fontId="2" fillId="2" borderId="5" xfId="0" applyFont="1" applyFill="1" applyBorder="1"/>
    <xf numFmtId="3" fontId="2" fillId="2" borderId="6" xfId="0" applyNumberFormat="1" applyFont="1" applyFill="1" applyBorder="1"/>
    <xf numFmtId="3" fontId="2" fillId="2" borderId="5" xfId="0" applyNumberFormat="1" applyFont="1" applyFill="1" applyBorder="1"/>
    <xf numFmtId="9" fontId="4" fillId="2" borderId="6" xfId="0" applyNumberFormat="1" applyFont="1" applyFill="1" applyBorder="1"/>
    <xf numFmtId="0" fontId="4" fillId="2" borderId="5" xfId="0" applyFont="1" applyFill="1" applyBorder="1"/>
    <xf numFmtId="0" fontId="4" fillId="0" borderId="0" xfId="0" applyFont="1"/>
    <xf numFmtId="3" fontId="4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0" fontId="5" fillId="2" borderId="5" xfId="0" applyFont="1" applyFill="1" applyBorder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9" fontId="2" fillId="0" borderId="0" xfId="0" applyNumberFormat="1" applyFont="1"/>
    <xf numFmtId="9" fontId="4" fillId="2" borderId="7" xfId="0" applyNumberFormat="1" applyFont="1" applyFill="1" applyBorder="1"/>
    <xf numFmtId="9" fontId="4" fillId="2" borderId="8" xfId="0" applyNumberFormat="1" applyFont="1" applyFill="1" applyBorder="1"/>
    <xf numFmtId="9" fontId="4" fillId="2" borderId="5" xfId="0" applyNumberFormat="1" applyFont="1" applyFill="1" applyBorder="1"/>
    <xf numFmtId="9" fontId="4" fillId="0" borderId="6" xfId="0" applyNumberFormat="1" applyFont="1" applyBorder="1"/>
    <xf numFmtId="9" fontId="4" fillId="0" borderId="7" xfId="0" applyNumberFormat="1" applyFont="1" applyBorder="1"/>
    <xf numFmtId="9" fontId="4" fillId="0" borderId="8" xfId="0" applyNumberFormat="1" applyFont="1" applyBorder="1"/>
    <xf numFmtId="9" fontId="4" fillId="0" borderId="5" xfId="0" applyNumberFormat="1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0" fontId="3" fillId="4" borderId="5" xfId="0" applyFont="1" applyFill="1" applyBorder="1"/>
    <xf numFmtId="3" fontId="3" fillId="4" borderId="6" xfId="0" applyNumberFormat="1" applyFont="1" applyFill="1" applyBorder="1"/>
    <xf numFmtId="3" fontId="3" fillId="4" borderId="5" xfId="0" applyNumberFormat="1" applyFont="1" applyFill="1" applyBorder="1"/>
    <xf numFmtId="0" fontId="2" fillId="4" borderId="5" xfId="0" applyFont="1" applyFill="1" applyBorder="1"/>
    <xf numFmtId="3" fontId="2" fillId="4" borderId="6" xfId="0" applyNumberFormat="1" applyFont="1" applyFill="1" applyBorder="1"/>
    <xf numFmtId="3" fontId="2" fillId="4" borderId="5" xfId="0" applyNumberFormat="1" applyFont="1" applyFill="1" applyBorder="1"/>
    <xf numFmtId="9" fontId="4" fillId="4" borderId="6" xfId="0" applyNumberFormat="1" applyFont="1" applyFill="1" applyBorder="1"/>
    <xf numFmtId="9" fontId="2" fillId="4" borderId="6" xfId="1" applyFont="1" applyFill="1" applyBorder="1"/>
    <xf numFmtId="9" fontId="2" fillId="4" borderId="5" xfId="1" applyFont="1" applyFill="1" applyBorder="1"/>
    <xf numFmtId="0" fontId="4" fillId="4" borderId="5" xfId="0" applyFont="1" applyFill="1" applyBorder="1"/>
    <xf numFmtId="0" fontId="5" fillId="4" borderId="5" xfId="0" applyFont="1" applyFill="1" applyBorder="1"/>
    <xf numFmtId="3" fontId="3" fillId="4" borderId="7" xfId="0" applyNumberFormat="1" applyFont="1" applyFill="1" applyBorder="1"/>
    <xf numFmtId="3" fontId="3" fillId="4" borderId="8" xfId="0" applyNumberFormat="1" applyFont="1" applyFill="1" applyBorder="1"/>
    <xf numFmtId="9" fontId="4" fillId="4" borderId="7" xfId="0" applyNumberFormat="1" applyFont="1" applyFill="1" applyBorder="1"/>
    <xf numFmtId="9" fontId="4" fillId="4" borderId="8" xfId="0" applyNumberFormat="1" applyFont="1" applyFill="1" applyBorder="1"/>
    <xf numFmtId="9" fontId="4" fillId="4" borderId="5" xfId="0" applyNumberFormat="1" applyFont="1" applyFill="1" applyBorder="1"/>
    <xf numFmtId="0" fontId="3" fillId="3" borderId="5" xfId="0" applyFont="1" applyFill="1" applyBorder="1"/>
    <xf numFmtId="3" fontId="3" fillId="3" borderId="6" xfId="0" applyNumberFormat="1" applyFont="1" applyFill="1" applyBorder="1"/>
    <xf numFmtId="3" fontId="3" fillId="3" borderId="8" xfId="0" applyNumberFormat="1" applyFont="1" applyFill="1" applyBorder="1"/>
    <xf numFmtId="3" fontId="3" fillId="3" borderId="5" xfId="0" applyNumberFormat="1" applyFont="1" applyFill="1" applyBorder="1"/>
    <xf numFmtId="9" fontId="6" fillId="3" borderId="10" xfId="0" applyNumberFormat="1" applyFont="1" applyFill="1" applyBorder="1"/>
    <xf numFmtId="9" fontId="6" fillId="3" borderId="11" xfId="0" applyNumberFormat="1" applyFont="1" applyFill="1" applyBorder="1"/>
    <xf numFmtId="9" fontId="6" fillId="3" borderId="12" xfId="0" applyNumberFormat="1" applyFont="1" applyFill="1" applyBorder="1"/>
    <xf numFmtId="9" fontId="6" fillId="3" borderId="9" xfId="0" applyNumberFormat="1" applyFont="1" applyFill="1" applyBorder="1"/>
    <xf numFmtId="0" fontId="7" fillId="2" borderId="5" xfId="0" applyFont="1" applyFill="1" applyBorder="1"/>
    <xf numFmtId="0" fontId="8" fillId="3" borderId="9" xfId="0" applyFont="1" applyFill="1" applyBorder="1"/>
    <xf numFmtId="0" fontId="7" fillId="3" borderId="1" xfId="0" applyFont="1" applyFill="1" applyBorder="1"/>
    <xf numFmtId="0" fontId="2" fillId="5" borderId="16" xfId="0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166" fontId="12" fillId="6" borderId="0" xfId="3" applyNumberFormat="1" applyFont="1" applyFill="1" applyAlignment="1">
      <alignment vertical="center"/>
    </xf>
    <xf numFmtId="165" fontId="12" fillId="6" borderId="0" xfId="2" applyNumberFormat="1" applyFont="1" applyFill="1" applyAlignment="1">
      <alignment vertical="center"/>
    </xf>
    <xf numFmtId="37" fontId="13" fillId="0" borderId="19" xfId="2" applyNumberFormat="1" applyFont="1" applyFill="1" applyBorder="1" applyAlignment="1">
      <alignment wrapText="1"/>
    </xf>
    <xf numFmtId="37" fontId="13" fillId="0" borderId="19" xfId="2" applyNumberFormat="1" applyFont="1" applyFill="1" applyBorder="1" applyAlignment="1">
      <alignment horizontal="center" wrapText="1"/>
    </xf>
    <xf numFmtId="166" fontId="13" fillId="0" borderId="19" xfId="3" applyNumberFormat="1" applyFont="1" applyFill="1" applyBorder="1" applyAlignment="1">
      <alignment wrapText="1"/>
    </xf>
    <xf numFmtId="0" fontId="14" fillId="0" borderId="0" xfId="4" applyFont="1"/>
    <xf numFmtId="165" fontId="0" fillId="0" borderId="0" xfId="2" applyNumberFormat="1" applyFont="1" applyFill="1"/>
    <xf numFmtId="166" fontId="0" fillId="0" borderId="0" xfId="3" applyNumberFormat="1" applyFont="1" applyFill="1"/>
    <xf numFmtId="165" fontId="17" fillId="7" borderId="20" xfId="2" applyNumberFormat="1" applyFont="1" applyFill="1" applyBorder="1"/>
    <xf numFmtId="166" fontId="17" fillId="7" borderId="21" xfId="3" applyNumberFormat="1" applyFont="1" applyFill="1" applyBorder="1"/>
    <xf numFmtId="166" fontId="17" fillId="0" borderId="0" xfId="3" applyNumberFormat="1" applyFont="1"/>
    <xf numFmtId="165" fontId="0" fillId="0" borderId="0" xfId="2" applyNumberFormat="1" applyFont="1"/>
    <xf numFmtId="165" fontId="15" fillId="0" borderId="0" xfId="2" applyNumberFormat="1" applyFont="1"/>
    <xf numFmtId="166" fontId="15" fillId="0" borderId="0" xfId="3" applyNumberFormat="1" applyFont="1"/>
    <xf numFmtId="165" fontId="19" fillId="0" borderId="0" xfId="2" applyNumberFormat="1" applyFont="1"/>
    <xf numFmtId="167" fontId="20" fillId="7" borderId="20" xfId="2" applyNumberFormat="1" applyFont="1" applyFill="1" applyBorder="1"/>
    <xf numFmtId="3" fontId="20" fillId="0" borderId="20" xfId="2" applyNumberFormat="1" applyFont="1" applyFill="1" applyBorder="1"/>
    <xf numFmtId="3" fontId="22" fillId="0" borderId="0" xfId="2" applyNumberFormat="1" applyFont="1" applyBorder="1" applyAlignment="1"/>
    <xf numFmtId="166" fontId="15" fillId="0" borderId="22" xfId="3" applyNumberFormat="1" applyFont="1" applyBorder="1"/>
    <xf numFmtId="0" fontId="17" fillId="0" borderId="0" xfId="4" applyFont="1"/>
    <xf numFmtId="165" fontId="15" fillId="0" borderId="0" xfId="2" applyNumberFormat="1" applyFont="1" applyBorder="1"/>
    <xf numFmtId="3" fontId="15" fillId="0" borderId="0" xfId="2" applyNumberFormat="1" applyFont="1" applyBorder="1"/>
    <xf numFmtId="165" fontId="16" fillId="0" borderId="0" xfId="2" applyNumberFormat="1" applyFont="1"/>
    <xf numFmtId="166" fontId="0" fillId="0" borderId="0" xfId="3" applyNumberFormat="1" applyFont="1"/>
    <xf numFmtId="165" fontId="11" fillId="6" borderId="15" xfId="2" applyNumberFormat="1" applyFont="1" applyFill="1" applyBorder="1" applyAlignment="1">
      <alignment horizontal="center" vertical="center"/>
    </xf>
    <xf numFmtId="37" fontId="13" fillId="0" borderId="24" xfId="2" applyNumberFormat="1" applyFont="1" applyFill="1" applyBorder="1" applyAlignment="1">
      <alignment wrapText="1"/>
    </xf>
    <xf numFmtId="37" fontId="13" fillId="0" borderId="25" xfId="2" applyNumberFormat="1" applyFont="1" applyFill="1" applyBorder="1" applyAlignment="1">
      <alignment wrapText="1"/>
    </xf>
    <xf numFmtId="0" fontId="15" fillId="0" borderId="26" xfId="4" applyFont="1" applyBorder="1"/>
    <xf numFmtId="165" fontId="0" fillId="0" borderId="0" xfId="2" applyNumberFormat="1" applyFont="1" applyFill="1" applyBorder="1"/>
    <xf numFmtId="165" fontId="0" fillId="0" borderId="27" xfId="2" applyNumberFormat="1" applyFont="1" applyFill="1" applyBorder="1"/>
    <xf numFmtId="165" fontId="17" fillId="7" borderId="28" xfId="2" applyNumberFormat="1" applyFont="1" applyFill="1" applyBorder="1"/>
    <xf numFmtId="166" fontId="17" fillId="4" borderId="29" xfId="3" applyNumberFormat="1" applyFont="1" applyFill="1" applyBorder="1"/>
    <xf numFmtId="165" fontId="15" fillId="0" borderId="26" xfId="2" applyNumberFormat="1" applyFont="1" applyBorder="1"/>
    <xf numFmtId="165" fontId="15" fillId="0" borderId="27" xfId="2" applyNumberFormat="1" applyFont="1" applyBorder="1"/>
    <xf numFmtId="0" fontId="18" fillId="0" borderId="26" xfId="4" applyFont="1" applyBorder="1"/>
    <xf numFmtId="165" fontId="19" fillId="0" borderId="0" xfId="2" applyNumberFormat="1" applyFont="1" applyBorder="1"/>
    <xf numFmtId="165" fontId="19" fillId="0" borderId="27" xfId="2" applyNumberFormat="1" applyFont="1" applyBorder="1"/>
    <xf numFmtId="165" fontId="15" fillId="0" borderId="30" xfId="2" applyNumberFormat="1" applyFont="1" applyBorder="1"/>
    <xf numFmtId="165" fontId="15" fillId="0" borderId="31" xfId="2" applyNumberFormat="1" applyFont="1" applyBorder="1"/>
    <xf numFmtId="166" fontId="15" fillId="0" borderId="32" xfId="3" applyNumberFormat="1" applyFont="1" applyBorder="1"/>
    <xf numFmtId="165" fontId="11" fillId="6" borderId="33" xfId="2" applyNumberFormat="1" applyFont="1" applyFill="1" applyBorder="1" applyAlignment="1">
      <alignment vertical="center"/>
    </xf>
    <xf numFmtId="37" fontId="13" fillId="0" borderId="34" xfId="2" applyNumberFormat="1" applyFont="1" applyFill="1" applyBorder="1" applyAlignment="1">
      <alignment wrapText="1"/>
    </xf>
    <xf numFmtId="0" fontId="15" fillId="0" borderId="35" xfId="4" applyFont="1" applyBorder="1"/>
    <xf numFmtId="0" fontId="17" fillId="7" borderId="35" xfId="4" applyFont="1" applyFill="1" applyBorder="1"/>
    <xf numFmtId="0" fontId="18" fillId="0" borderId="35" xfId="4" applyFont="1" applyBorder="1"/>
    <xf numFmtId="0" fontId="13" fillId="0" borderId="36" xfId="4" applyFont="1" applyBorder="1"/>
    <xf numFmtId="165" fontId="11" fillId="6" borderId="13" xfId="2" applyNumberFormat="1" applyFont="1" applyFill="1" applyBorder="1" applyAlignment="1">
      <alignment vertical="center"/>
    </xf>
    <xf numFmtId="165" fontId="11" fillId="6" borderId="14" xfId="2" applyNumberFormat="1" applyFont="1" applyFill="1" applyBorder="1" applyAlignment="1">
      <alignment vertical="center"/>
    </xf>
    <xf numFmtId="165" fontId="11" fillId="6" borderId="15" xfId="2" applyNumberFormat="1" applyFont="1" applyFill="1" applyBorder="1" applyAlignment="1">
      <alignment vertical="center"/>
    </xf>
    <xf numFmtId="165" fontId="0" fillId="0" borderId="26" xfId="2" applyNumberFormat="1" applyFont="1" applyFill="1" applyBorder="1"/>
    <xf numFmtId="3" fontId="17" fillId="0" borderId="26" xfId="2" applyNumberFormat="1" applyFont="1" applyBorder="1"/>
    <xf numFmtId="3" fontId="17" fillId="0" borderId="0" xfId="2" applyNumberFormat="1" applyFont="1" applyBorder="1"/>
    <xf numFmtId="3" fontId="15" fillId="8" borderId="27" xfId="2" applyNumberFormat="1" applyFont="1" applyFill="1" applyBorder="1"/>
    <xf numFmtId="3" fontId="15" fillId="0" borderId="26" xfId="2" applyNumberFormat="1" applyFont="1" applyBorder="1"/>
    <xf numFmtId="167" fontId="20" fillId="7" borderId="28" xfId="2" applyNumberFormat="1" applyFont="1" applyFill="1" applyBorder="1"/>
    <xf numFmtId="3" fontId="19" fillId="8" borderId="27" xfId="2" applyNumberFormat="1" applyFont="1" applyFill="1" applyBorder="1"/>
    <xf numFmtId="3" fontId="15" fillId="8" borderId="32" xfId="2" applyNumberFormat="1" applyFont="1" applyFill="1" applyBorder="1"/>
    <xf numFmtId="165" fontId="11" fillId="6" borderId="33" xfId="2" applyNumberFormat="1" applyFont="1" applyFill="1" applyBorder="1" applyAlignment="1">
      <alignment horizontal="center" vertical="center"/>
    </xf>
    <xf numFmtId="165" fontId="16" fillId="0" borderId="35" xfId="2" applyNumberFormat="1" applyFont="1" applyFill="1" applyBorder="1"/>
    <xf numFmtId="166" fontId="15" fillId="0" borderId="39" xfId="3" applyNumberFormat="1" applyFont="1" applyFill="1" applyBorder="1"/>
    <xf numFmtId="165" fontId="15" fillId="0" borderId="35" xfId="2" applyNumberFormat="1" applyFont="1" applyBorder="1"/>
    <xf numFmtId="165" fontId="21" fillId="0" borderId="35" xfId="2" applyNumberFormat="1" applyFont="1" applyBorder="1"/>
    <xf numFmtId="37" fontId="15" fillId="0" borderId="36" xfId="2" applyNumberFormat="1" applyFont="1" applyBorder="1"/>
    <xf numFmtId="166" fontId="17" fillId="7" borderId="40" xfId="3" applyNumberFormat="1" applyFont="1" applyFill="1" applyBorder="1"/>
    <xf numFmtId="166" fontId="17" fillId="7" borderId="41" xfId="3" applyNumberFormat="1" applyFont="1" applyFill="1" applyBorder="1"/>
    <xf numFmtId="165" fontId="19" fillId="0" borderId="26" xfId="2" applyNumberFormat="1" applyFont="1" applyBorder="1"/>
    <xf numFmtId="37" fontId="15" fillId="0" borderId="37" xfId="2" applyNumberFormat="1" applyFont="1" applyBorder="1"/>
    <xf numFmtId="37" fontId="15" fillId="0" borderId="38" xfId="2" applyNumberFormat="1" applyFont="1" applyBorder="1"/>
    <xf numFmtId="37" fontId="15" fillId="0" borderId="32" xfId="2" applyNumberFormat="1" applyFont="1" applyBorder="1"/>
    <xf numFmtId="3" fontId="20" fillId="0" borderId="28" xfId="2" applyNumberFormat="1" applyFont="1" applyFill="1" applyBorder="1"/>
    <xf numFmtId="166" fontId="20" fillId="0" borderId="23" xfId="3" applyNumberFormat="1" applyFont="1" applyFill="1" applyBorder="1"/>
    <xf numFmtId="0" fontId="19" fillId="0" borderId="0" xfId="0" applyFont="1"/>
    <xf numFmtId="165" fontId="19" fillId="0" borderId="13" xfId="2" applyNumberFormat="1" applyFont="1" applyBorder="1"/>
    <xf numFmtId="165" fontId="19" fillId="0" borderId="14" xfId="2" applyNumberFormat="1" applyFont="1" applyBorder="1"/>
    <xf numFmtId="165" fontId="19" fillId="0" borderId="15" xfId="2" applyNumberFormat="1" applyFont="1" applyBorder="1"/>
    <xf numFmtId="37" fontId="22" fillId="0" borderId="24" xfId="2" applyNumberFormat="1" applyFont="1" applyFill="1" applyBorder="1" applyAlignment="1">
      <alignment wrapText="1"/>
    </xf>
    <xf numFmtId="37" fontId="22" fillId="0" borderId="19" xfId="2" applyNumberFormat="1" applyFont="1" applyFill="1" applyBorder="1" applyAlignment="1">
      <alignment wrapText="1"/>
    </xf>
    <xf numFmtId="37" fontId="22" fillId="0" borderId="25" xfId="2" applyNumberFormat="1" applyFont="1" applyFill="1" applyBorder="1" applyAlignment="1">
      <alignment wrapText="1"/>
    </xf>
    <xf numFmtId="165" fontId="19" fillId="0" borderId="26" xfId="2" applyNumberFormat="1" applyFont="1" applyFill="1" applyBorder="1"/>
    <xf numFmtId="165" fontId="19" fillId="0" borderId="0" xfId="2" applyNumberFormat="1" applyFont="1" applyFill="1" applyBorder="1"/>
    <xf numFmtId="165" fontId="19" fillId="0" borderId="27" xfId="2" applyNumberFormat="1" applyFont="1" applyFill="1" applyBorder="1"/>
    <xf numFmtId="166" fontId="24" fillId="0" borderId="39" xfId="3" applyNumberFormat="1" applyFont="1" applyFill="1" applyBorder="1"/>
    <xf numFmtId="3" fontId="20" fillId="0" borderId="26" xfId="2" applyNumberFormat="1" applyFont="1" applyBorder="1"/>
    <xf numFmtId="3" fontId="24" fillId="8" borderId="27" xfId="2" applyNumberFormat="1" applyFont="1" applyFill="1" applyBorder="1"/>
    <xf numFmtId="3" fontId="24" fillId="0" borderId="26" xfId="2" applyNumberFormat="1" applyFont="1" applyBorder="1"/>
    <xf numFmtId="3" fontId="24" fillId="0" borderId="0" xfId="2" applyNumberFormat="1" applyFont="1" applyBorder="1"/>
    <xf numFmtId="3" fontId="24" fillId="8" borderId="32" xfId="2" applyNumberFormat="1" applyFont="1" applyFill="1" applyBorder="1"/>
    <xf numFmtId="165" fontId="19" fillId="0" borderId="16" xfId="2" applyNumberFormat="1" applyFont="1" applyBorder="1"/>
    <xf numFmtId="165" fontId="19" fillId="0" borderId="17" xfId="2" applyNumberFormat="1" applyFont="1" applyBorder="1"/>
    <xf numFmtId="165" fontId="19" fillId="0" borderId="18" xfId="2" applyNumberFormat="1" applyFont="1" applyBorder="1"/>
    <xf numFmtId="166" fontId="24" fillId="0" borderId="42" xfId="3" applyNumberFormat="1" applyFont="1" applyFill="1" applyBorder="1"/>
    <xf numFmtId="3" fontId="20" fillId="0" borderId="13" xfId="2" applyNumberFormat="1" applyFont="1" applyBorder="1"/>
    <xf numFmtId="3" fontId="24" fillId="8" borderId="15" xfId="2" applyNumberFormat="1" applyFont="1" applyFill="1" applyBorder="1"/>
    <xf numFmtId="166" fontId="24" fillId="0" borderId="44" xfId="3" applyNumberFormat="1" applyFont="1" applyFill="1" applyBorder="1"/>
    <xf numFmtId="3" fontId="20" fillId="0" borderId="16" xfId="2" applyNumberFormat="1" applyFont="1" applyBorder="1"/>
    <xf numFmtId="3" fontId="24" fillId="8" borderId="18" xfId="2" applyNumberFormat="1" applyFont="1" applyFill="1" applyBorder="1"/>
    <xf numFmtId="3" fontId="20" fillId="0" borderId="45" xfId="2" applyNumberFormat="1" applyFont="1" applyFill="1" applyBorder="1"/>
    <xf numFmtId="3" fontId="20" fillId="0" borderId="46" xfId="2" applyNumberFormat="1" applyFont="1" applyFill="1" applyBorder="1"/>
    <xf numFmtId="3" fontId="24" fillId="0" borderId="16" xfId="2" applyNumberFormat="1" applyFont="1" applyBorder="1"/>
    <xf numFmtId="3" fontId="24" fillId="0" borderId="17" xfId="2" applyNumberFormat="1" applyFont="1" applyBorder="1"/>
    <xf numFmtId="0" fontId="20" fillId="0" borderId="35" xfId="4" applyFont="1" applyBorder="1"/>
    <xf numFmtId="0" fontId="20" fillId="0" borderId="33" xfId="4" applyFont="1" applyBorder="1"/>
    <xf numFmtId="165" fontId="19" fillId="0" borderId="16" xfId="2" applyNumberFormat="1" applyFont="1" applyFill="1" applyBorder="1"/>
    <xf numFmtId="0" fontId="20" fillId="0" borderId="43" xfId="4" applyFont="1" applyBorder="1"/>
    <xf numFmtId="0" fontId="25" fillId="4" borderId="5" xfId="0" applyFont="1" applyFill="1" applyBorder="1"/>
    <xf numFmtId="166" fontId="20" fillId="0" borderId="0" xfId="3" applyNumberFormat="1" applyFont="1" applyFill="1" applyBorder="1"/>
    <xf numFmtId="166" fontId="20" fillId="7" borderId="0" xfId="2" applyNumberFormat="1" applyFont="1" applyFill="1" applyBorder="1"/>
    <xf numFmtId="3" fontId="15" fillId="0" borderId="22" xfId="2" applyNumberFormat="1" applyFont="1" applyBorder="1"/>
    <xf numFmtId="3" fontId="7" fillId="2" borderId="5" xfId="0" applyNumberFormat="1" applyFont="1" applyFill="1" applyBorder="1"/>
    <xf numFmtId="0" fontId="21" fillId="3" borderId="1" xfId="0" applyFont="1" applyFill="1" applyBorder="1"/>
    <xf numFmtId="0" fontId="21" fillId="3" borderId="47" xfId="0" applyFont="1" applyFill="1" applyBorder="1"/>
    <xf numFmtId="0" fontId="21" fillId="3" borderId="2" xfId="0" applyFont="1" applyFill="1" applyBorder="1"/>
    <xf numFmtId="0" fontId="21" fillId="3" borderId="3" xfId="0" applyFont="1" applyFill="1" applyBorder="1"/>
    <xf numFmtId="0" fontId="21" fillId="3" borderId="4" xfId="0" applyFont="1" applyFill="1" applyBorder="1"/>
    <xf numFmtId="0" fontId="19" fillId="0" borderId="7" xfId="0" applyFont="1" applyBorder="1"/>
    <xf numFmtId="3" fontId="26" fillId="0" borderId="7" xfId="0" applyNumberFormat="1" applyFont="1" applyBorder="1"/>
    <xf numFmtId="3" fontId="21" fillId="0" borderId="7" xfId="0" applyNumberFormat="1" applyFont="1" applyBorder="1"/>
    <xf numFmtId="0" fontId="21" fillId="0" borderId="0" xfId="0" applyFont="1"/>
    <xf numFmtId="3" fontId="19" fillId="0" borderId="0" xfId="0" applyNumberFormat="1" applyFont="1"/>
    <xf numFmtId="0" fontId="21" fillId="4" borderId="5" xfId="0" applyFont="1" applyFill="1" applyBorder="1"/>
    <xf numFmtId="3" fontId="21" fillId="4" borderId="6" xfId="0" applyNumberFormat="1" applyFont="1" applyFill="1" applyBorder="1"/>
    <xf numFmtId="9" fontId="21" fillId="4" borderId="6" xfId="0" applyNumberFormat="1" applyFont="1" applyFill="1" applyBorder="1"/>
    <xf numFmtId="0" fontId="2" fillId="2" borderId="52" xfId="0" applyFont="1" applyFill="1" applyBorder="1"/>
    <xf numFmtId="0" fontId="21" fillId="3" borderId="51" xfId="0" applyFont="1" applyFill="1" applyBorder="1"/>
    <xf numFmtId="3" fontId="26" fillId="0" borderId="6" xfId="0" applyNumberFormat="1" applyFont="1" applyBorder="1"/>
    <xf numFmtId="0" fontId="2" fillId="2" borderId="9" xfId="0" applyFont="1" applyFill="1" applyBorder="1"/>
    <xf numFmtId="3" fontId="26" fillId="0" borderId="5" xfId="0" applyNumberFormat="1" applyFont="1" applyBorder="1"/>
    <xf numFmtId="3" fontId="26" fillId="0" borderId="9" xfId="0" applyNumberFormat="1" applyFont="1" applyBorder="1"/>
    <xf numFmtId="3" fontId="26" fillId="0" borderId="48" xfId="0" applyNumberFormat="1" applyFont="1" applyBorder="1"/>
    <xf numFmtId="9" fontId="26" fillId="0" borderId="5" xfId="0" applyNumberFormat="1" applyFont="1" applyBorder="1"/>
    <xf numFmtId="9" fontId="26" fillId="0" borderId="9" xfId="0" applyNumberFormat="1" applyFont="1" applyBorder="1"/>
    <xf numFmtId="0" fontId="21" fillId="4" borderId="7" xfId="0" applyFont="1" applyFill="1" applyBorder="1"/>
    <xf numFmtId="3" fontId="19" fillId="4" borderId="7" xfId="0" applyNumberFormat="1" applyFont="1" applyFill="1" applyBorder="1"/>
    <xf numFmtId="3" fontId="21" fillId="4" borderId="7" xfId="0" applyNumberFormat="1" applyFont="1" applyFill="1" applyBorder="1"/>
    <xf numFmtId="0" fontId="2" fillId="9" borderId="5" xfId="0" applyFont="1" applyFill="1" applyBorder="1"/>
    <xf numFmtId="3" fontId="2" fillId="9" borderId="6" xfId="0" applyNumberFormat="1" applyFont="1" applyFill="1" applyBorder="1"/>
    <xf numFmtId="3" fontId="2" fillId="9" borderId="5" xfId="0" applyNumberFormat="1" applyFont="1" applyFill="1" applyBorder="1"/>
    <xf numFmtId="0" fontId="2" fillId="10" borderId="5" xfId="0" applyFont="1" applyFill="1" applyBorder="1"/>
    <xf numFmtId="3" fontId="2" fillId="10" borderId="6" xfId="0" applyNumberFormat="1" applyFont="1" applyFill="1" applyBorder="1"/>
    <xf numFmtId="3" fontId="2" fillId="10" borderId="5" xfId="0" applyNumberFormat="1" applyFont="1" applyFill="1" applyBorder="1"/>
    <xf numFmtId="0" fontId="2" fillId="11" borderId="5" xfId="0" applyFont="1" applyFill="1" applyBorder="1"/>
    <xf numFmtId="3" fontId="2" fillId="11" borderId="6" xfId="0" applyNumberFormat="1" applyFont="1" applyFill="1" applyBorder="1"/>
    <xf numFmtId="3" fontId="2" fillId="11" borderId="5" xfId="0" applyNumberFormat="1" applyFont="1" applyFill="1" applyBorder="1"/>
    <xf numFmtId="3" fontId="19" fillId="4" borderId="6" xfId="0" applyNumberFormat="1" applyFont="1" applyFill="1" applyBorder="1"/>
    <xf numFmtId="9" fontId="19" fillId="4" borderId="6" xfId="0" applyNumberFormat="1" applyFont="1" applyFill="1" applyBorder="1"/>
    <xf numFmtId="4" fontId="19" fillId="4" borderId="6" xfId="0" applyNumberFormat="1" applyFont="1" applyFill="1" applyBorder="1"/>
    <xf numFmtId="3" fontId="19" fillId="4" borderId="5" xfId="0" applyNumberFormat="1" applyFont="1" applyFill="1" applyBorder="1"/>
    <xf numFmtId="9" fontId="19" fillId="4" borderId="5" xfId="0" applyNumberFormat="1" applyFont="1" applyFill="1" applyBorder="1"/>
    <xf numFmtId="0" fontId="21" fillId="4" borderId="9" xfId="0" applyFont="1" applyFill="1" applyBorder="1"/>
    <xf numFmtId="167" fontId="19" fillId="4" borderId="9" xfId="0" applyNumberFormat="1" applyFont="1" applyFill="1" applyBorder="1"/>
    <xf numFmtId="0" fontId="3" fillId="3" borderId="54" xfId="0" applyFont="1" applyFill="1" applyBorder="1"/>
    <xf numFmtId="9" fontId="3" fillId="4" borderId="55" xfId="0" applyNumberFormat="1" applyFont="1" applyFill="1" applyBorder="1"/>
    <xf numFmtId="9" fontId="3" fillId="4" borderId="10" xfId="0" applyNumberFormat="1" applyFont="1" applyFill="1" applyBorder="1"/>
    <xf numFmtId="9" fontId="3" fillId="4" borderId="56" xfId="0" applyNumberFormat="1" applyFont="1" applyFill="1" applyBorder="1"/>
    <xf numFmtId="0" fontId="28" fillId="2" borderId="57" xfId="0" applyFont="1" applyFill="1" applyBorder="1" applyAlignment="1">
      <alignment horizontal="center"/>
    </xf>
    <xf numFmtId="0" fontId="28" fillId="2" borderId="58" xfId="0" applyFont="1" applyFill="1" applyBorder="1" applyAlignment="1">
      <alignment horizontal="center"/>
    </xf>
    <xf numFmtId="0" fontId="28" fillId="2" borderId="59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165" fontId="11" fillId="6" borderId="13" xfId="2" applyNumberFormat="1" applyFont="1" applyFill="1" applyBorder="1" applyAlignment="1">
      <alignment horizontal="center" vertical="center"/>
    </xf>
    <xf numFmtId="165" fontId="11" fillId="6" borderId="14" xfId="2" applyNumberFormat="1" applyFont="1" applyFill="1" applyBorder="1" applyAlignment="1">
      <alignment horizontal="center" vertical="center"/>
    </xf>
    <xf numFmtId="165" fontId="11" fillId="6" borderId="15" xfId="2" applyNumberFormat="1" applyFont="1" applyFill="1" applyBorder="1" applyAlignment="1">
      <alignment horizontal="center" vertical="center"/>
    </xf>
    <xf numFmtId="165" fontId="23" fillId="6" borderId="13" xfId="2" applyNumberFormat="1" applyFont="1" applyFill="1" applyBorder="1" applyAlignment="1">
      <alignment horizontal="center" vertical="center"/>
    </xf>
    <xf numFmtId="165" fontId="23" fillId="6" borderId="14" xfId="2" applyNumberFormat="1" applyFont="1" applyFill="1" applyBorder="1" applyAlignment="1">
      <alignment horizontal="center" vertical="center"/>
    </xf>
    <xf numFmtId="165" fontId="23" fillId="6" borderId="15" xfId="2" applyNumberFormat="1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/>
    </xf>
    <xf numFmtId="0" fontId="21" fillId="4" borderId="50" xfId="0" applyFont="1" applyFill="1" applyBorder="1" applyAlignment="1">
      <alignment horizontal="center"/>
    </xf>
    <xf numFmtId="0" fontId="21" fillId="4" borderId="53" xfId="0" applyFont="1" applyFill="1" applyBorder="1" applyAlignment="1">
      <alignment horizontal="center"/>
    </xf>
    <xf numFmtId="0" fontId="21" fillId="4" borderId="48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</cellXfs>
  <cellStyles count="5">
    <cellStyle name="Čárka 2" xfId="2" xr:uid="{87876AA0-4B87-48C5-AE56-3FB4AEB76B2C}"/>
    <cellStyle name="Normal" xfId="0" builtinId="0"/>
    <cellStyle name="Normální 2" xfId="4" xr:uid="{DE3D9DC6-5C59-419B-B892-13C9156A61F0}"/>
    <cellStyle name="Per cent" xfId="1" builtinId="5"/>
    <cellStyle name="Procenta 2" xfId="3" xr:uid="{F33A11A0-24EA-40CA-A3B6-9FD31C846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D519-65E2-40DC-B51A-DEB397808A25}">
  <sheetPr>
    <tabColor theme="5" tint="0.59999389629810485"/>
  </sheetPr>
  <dimension ref="A1:G35"/>
  <sheetViews>
    <sheetView showGridLines="0" tabSelected="1" workbookViewId="0"/>
  </sheetViews>
  <sheetFormatPr defaultColWidth="8.85546875" defaultRowHeight="12" x14ac:dyDescent="0.2"/>
  <cols>
    <col min="1" max="1" width="4.42578125" style="1" customWidth="1"/>
    <col min="2" max="2" width="22.5703125" style="1" bestFit="1" customWidth="1"/>
    <col min="3" max="4" width="11.5703125" style="1" customWidth="1"/>
    <col min="5" max="5" width="10" style="1" customWidth="1"/>
    <col min="6" max="6" width="1.140625" style="1" customWidth="1"/>
    <col min="7" max="16384" width="8.85546875" style="1"/>
  </cols>
  <sheetData>
    <row r="1" spans="2:6" ht="5.0999999999999996" customHeight="1" thickBot="1" x14ac:dyDescent="0.25"/>
    <row r="2" spans="2:6" ht="24.95" customHeight="1" thickBot="1" x14ac:dyDescent="0.45">
      <c r="B2" s="217" t="s">
        <v>143</v>
      </c>
      <c r="C2" s="218"/>
      <c r="D2" s="218"/>
      <c r="E2" s="219"/>
    </row>
    <row r="3" spans="2:6" ht="3.95" customHeight="1" thickBot="1" x14ac:dyDescent="0.25"/>
    <row r="4" spans="2:6" x14ac:dyDescent="0.2">
      <c r="B4" s="59" t="s">
        <v>36</v>
      </c>
      <c r="C4" s="59">
        <v>2022</v>
      </c>
      <c r="D4" s="32">
        <v>2023</v>
      </c>
      <c r="E4" s="32">
        <v>2024</v>
      </c>
    </row>
    <row r="5" spans="2:6" s="5" customFormat="1" x14ac:dyDescent="0.2">
      <c r="B5" s="33" t="s">
        <v>23</v>
      </c>
      <c r="C5" s="35">
        <v>16500000</v>
      </c>
      <c r="D5" s="35">
        <v>21000000</v>
      </c>
      <c r="E5" s="35">
        <v>28500000</v>
      </c>
    </row>
    <row r="6" spans="2:6" ht="4.7" customHeight="1" x14ac:dyDescent="0.2">
      <c r="B6" s="13"/>
      <c r="C6" s="13"/>
      <c r="D6" s="13"/>
      <c r="E6" s="13"/>
    </row>
    <row r="7" spans="2:6" x14ac:dyDescent="0.2">
      <c r="B7" s="36" t="s">
        <v>24</v>
      </c>
      <c r="C7" s="38">
        <v>8300000</v>
      </c>
      <c r="D7" s="38">
        <v>9500000</v>
      </c>
      <c r="E7" s="38">
        <v>12000000</v>
      </c>
    </row>
    <row r="8" spans="2:6" x14ac:dyDescent="0.2">
      <c r="B8" s="167" t="s">
        <v>25</v>
      </c>
      <c r="C8" s="41">
        <f>C7/C5</f>
        <v>0.50303030303030305</v>
      </c>
      <c r="D8" s="41">
        <f>D7/D5</f>
        <v>0.45238095238095238</v>
      </c>
      <c r="E8" s="41">
        <f>E7/E5</f>
        <v>0.42105263157894735</v>
      </c>
    </row>
    <row r="9" spans="2:6" x14ac:dyDescent="0.2">
      <c r="B9" s="36" t="s">
        <v>26</v>
      </c>
      <c r="C9" s="38">
        <v>800000</v>
      </c>
      <c r="D9" s="38">
        <v>880000</v>
      </c>
      <c r="E9" s="38">
        <v>950000</v>
      </c>
    </row>
    <row r="10" spans="2:6" x14ac:dyDescent="0.2">
      <c r="B10" s="167" t="s">
        <v>27</v>
      </c>
      <c r="C10" s="41">
        <f t="shared" ref="C10" si="0">C9/C5</f>
        <v>4.8484848484848485E-2</v>
      </c>
      <c r="D10" s="41">
        <f t="shared" ref="D10:E10" si="1">D9/D5</f>
        <v>4.1904761904761903E-2</v>
      </c>
      <c r="E10" s="41">
        <f t="shared" si="1"/>
        <v>3.3333333333333333E-2</v>
      </c>
    </row>
    <row r="11" spans="2:6" x14ac:dyDescent="0.2">
      <c r="B11" s="42" t="s">
        <v>28</v>
      </c>
      <c r="C11" s="41">
        <f t="shared" ref="C11" si="2">(C5-C7-C9)/C5</f>
        <v>0.44848484848484849</v>
      </c>
      <c r="D11" s="41">
        <f t="shared" ref="D11:E11" si="3">(D5-D7-D9)/D5</f>
        <v>0.50571428571428567</v>
      </c>
      <c r="E11" s="41">
        <f t="shared" si="3"/>
        <v>0.54561403508771933</v>
      </c>
    </row>
    <row r="12" spans="2:6" s="11" customFormat="1" x14ac:dyDescent="0.2">
      <c r="B12" s="33" t="s">
        <v>28</v>
      </c>
      <c r="C12" s="35">
        <f>C5-C7-C9</f>
        <v>7400000</v>
      </c>
      <c r="D12" s="35">
        <f>D5-D7-D9</f>
        <v>10620000</v>
      </c>
      <c r="E12" s="35">
        <f>E5-E7-E9</f>
        <v>15550000</v>
      </c>
      <c r="F12" s="12"/>
    </row>
    <row r="13" spans="2:6" ht="6.6" customHeight="1" x14ac:dyDescent="0.2">
      <c r="B13" s="13"/>
      <c r="C13" s="13"/>
      <c r="D13" s="13"/>
      <c r="E13" s="13"/>
    </row>
    <row r="14" spans="2:6" s="5" customFormat="1" x14ac:dyDescent="0.2">
      <c r="B14" s="2" t="s">
        <v>29</v>
      </c>
      <c r="C14" s="4">
        <v>1400000</v>
      </c>
      <c r="D14" s="4">
        <v>1800000</v>
      </c>
      <c r="E14" s="4">
        <v>2000000</v>
      </c>
    </row>
    <row r="15" spans="2:6" x14ac:dyDescent="0.2">
      <c r="B15" s="57" t="s">
        <v>30</v>
      </c>
      <c r="C15" s="171">
        <v>1400000</v>
      </c>
      <c r="D15" s="171">
        <v>1800000</v>
      </c>
      <c r="E15" s="171">
        <v>2000000</v>
      </c>
      <c r="F15" s="17"/>
    </row>
    <row r="16" spans="2:6" ht="6.6" customHeight="1" x14ac:dyDescent="0.2">
      <c r="B16" s="13"/>
      <c r="C16" s="13"/>
      <c r="D16" s="13"/>
      <c r="E16" s="13"/>
    </row>
    <row r="17" spans="1:7" s="5" customFormat="1" x14ac:dyDescent="0.2">
      <c r="B17" s="43" t="s">
        <v>31</v>
      </c>
      <c r="C17" s="35">
        <f>SUM(C18:C19)</f>
        <v>2750000</v>
      </c>
      <c r="D17" s="35">
        <f>SUM(D18:D19)</f>
        <v>3300000</v>
      </c>
      <c r="E17" s="35">
        <f>SUM(E18:E19)</f>
        <v>3700000</v>
      </c>
    </row>
    <row r="18" spans="1:7" x14ac:dyDescent="0.2">
      <c r="B18" s="36" t="s">
        <v>13</v>
      </c>
      <c r="C18" s="38">
        <v>1400000</v>
      </c>
      <c r="D18" s="38">
        <v>1600000</v>
      </c>
      <c r="E18" s="38">
        <v>1800000</v>
      </c>
    </row>
    <row r="19" spans="1:7" x14ac:dyDescent="0.2">
      <c r="B19" s="36" t="s">
        <v>32</v>
      </c>
      <c r="C19" s="38">
        <v>1350000</v>
      </c>
      <c r="D19" s="38">
        <v>1700000</v>
      </c>
      <c r="E19" s="38">
        <v>1900000</v>
      </c>
    </row>
    <row r="20" spans="1:7" s="11" customFormat="1" x14ac:dyDescent="0.2">
      <c r="B20" s="42" t="s">
        <v>33</v>
      </c>
      <c r="C20" s="48">
        <f t="shared" ref="C20" si="4">C17/C5</f>
        <v>0.16666666666666666</v>
      </c>
      <c r="D20" s="48">
        <f t="shared" ref="D20:E20" si="5">D17/D5</f>
        <v>0.15714285714285714</v>
      </c>
      <c r="E20" s="48">
        <f t="shared" si="5"/>
        <v>0.12982456140350876</v>
      </c>
    </row>
    <row r="21" spans="1:7" ht="6.6" customHeight="1" x14ac:dyDescent="0.2">
      <c r="B21" s="13"/>
      <c r="C21" s="13"/>
      <c r="D21" s="13"/>
      <c r="E21" s="13"/>
    </row>
    <row r="22" spans="1:7" s="5" customFormat="1" x14ac:dyDescent="0.2">
      <c r="B22" s="18" t="s">
        <v>35</v>
      </c>
      <c r="C22" s="4">
        <f>SUM(C23:C31)</f>
        <v>4520000</v>
      </c>
      <c r="D22" s="4">
        <f>SUM(D23:D31)</f>
        <v>6540000</v>
      </c>
      <c r="E22" s="4">
        <f>SUM(E23:E31)</f>
        <v>9100000</v>
      </c>
    </row>
    <row r="23" spans="1:7" x14ac:dyDescent="0.2">
      <c r="A23" s="21"/>
      <c r="B23" s="6" t="s">
        <v>104</v>
      </c>
      <c r="C23" s="8">
        <v>3100000</v>
      </c>
      <c r="D23" s="8">
        <v>4000000</v>
      </c>
      <c r="E23" s="8">
        <f>2400000+3400000</f>
        <v>5800000</v>
      </c>
    </row>
    <row r="24" spans="1:7" x14ac:dyDescent="0.2">
      <c r="B24" s="6" t="s">
        <v>22</v>
      </c>
      <c r="C24" s="8">
        <v>150000</v>
      </c>
      <c r="D24" s="8">
        <v>300000</v>
      </c>
      <c r="E24" s="8">
        <v>400000</v>
      </c>
      <c r="F24" s="17"/>
      <c r="G24" s="21"/>
    </row>
    <row r="25" spans="1:7" x14ac:dyDescent="0.2">
      <c r="B25" s="6" t="s">
        <v>14</v>
      </c>
      <c r="C25" s="8">
        <v>220000</v>
      </c>
      <c r="D25" s="8">
        <v>350000</v>
      </c>
      <c r="E25" s="8">
        <v>450000</v>
      </c>
      <c r="F25" s="17"/>
      <c r="G25" s="21"/>
    </row>
    <row r="26" spans="1:7" x14ac:dyDescent="0.2">
      <c r="B26" s="6" t="s">
        <v>76</v>
      </c>
      <c r="C26" s="8">
        <v>180000</v>
      </c>
      <c r="D26" s="8">
        <v>450000</v>
      </c>
      <c r="E26" s="8">
        <v>600000</v>
      </c>
      <c r="F26" s="17"/>
      <c r="G26" s="21"/>
    </row>
    <row r="27" spans="1:7" x14ac:dyDescent="0.2">
      <c r="B27" s="6" t="s">
        <v>15</v>
      </c>
      <c r="C27" s="8">
        <v>450000</v>
      </c>
      <c r="D27" s="8">
        <v>700000</v>
      </c>
      <c r="E27" s="8">
        <v>900000</v>
      </c>
      <c r="F27" s="17"/>
      <c r="G27" s="21"/>
    </row>
    <row r="28" spans="1:7" x14ac:dyDescent="0.2">
      <c r="B28" s="6" t="s">
        <v>16</v>
      </c>
      <c r="C28" s="8">
        <v>90000</v>
      </c>
      <c r="D28" s="8">
        <v>180000</v>
      </c>
      <c r="E28" s="8">
        <v>200000</v>
      </c>
      <c r="F28" s="17"/>
      <c r="G28" s="21"/>
    </row>
    <row r="29" spans="1:7" x14ac:dyDescent="0.2">
      <c r="B29" s="6" t="s">
        <v>17</v>
      </c>
      <c r="C29" s="8">
        <v>110000</v>
      </c>
      <c r="D29" s="8">
        <v>190000</v>
      </c>
      <c r="E29" s="8">
        <v>250000</v>
      </c>
      <c r="F29" s="17"/>
      <c r="G29" s="21"/>
    </row>
    <row r="30" spans="1:7" x14ac:dyDescent="0.2">
      <c r="B30" s="6" t="s">
        <v>21</v>
      </c>
      <c r="C30" s="8">
        <v>100000</v>
      </c>
      <c r="D30" s="8">
        <v>150000</v>
      </c>
      <c r="E30" s="8">
        <v>200000</v>
      </c>
      <c r="F30" s="17"/>
      <c r="G30" s="21"/>
    </row>
    <row r="31" spans="1:7" x14ac:dyDescent="0.2">
      <c r="B31" s="6" t="s">
        <v>18</v>
      </c>
      <c r="C31" s="8">
        <v>120000</v>
      </c>
      <c r="D31" s="8">
        <v>220000</v>
      </c>
      <c r="E31" s="8">
        <v>300000</v>
      </c>
      <c r="F31" s="17"/>
      <c r="G31" s="21"/>
    </row>
    <row r="32" spans="1:7" x14ac:dyDescent="0.2">
      <c r="B32" s="10" t="s">
        <v>34</v>
      </c>
      <c r="C32" s="24">
        <f>C22/C5</f>
        <v>0.27393939393939393</v>
      </c>
      <c r="D32" s="24">
        <f>D22/D5</f>
        <v>0.31142857142857144</v>
      </c>
      <c r="E32" s="24">
        <f>E22/E5</f>
        <v>0.31929824561403508</v>
      </c>
      <c r="F32" s="17"/>
    </row>
    <row r="33" spans="2:6" ht="8.1" customHeight="1" x14ac:dyDescent="0.2">
      <c r="B33" s="13"/>
      <c r="C33" s="28"/>
      <c r="D33" s="28"/>
      <c r="E33" s="28"/>
      <c r="F33" s="17"/>
    </row>
    <row r="34" spans="2:6" s="5" customFormat="1" x14ac:dyDescent="0.2">
      <c r="B34" s="49" t="s">
        <v>19</v>
      </c>
      <c r="C34" s="52">
        <f>C5-C7-C9-C17-C22</f>
        <v>130000</v>
      </c>
      <c r="D34" s="52">
        <f>D5-D7-D9-D17-D22</f>
        <v>780000</v>
      </c>
      <c r="E34" s="52">
        <f>E5-E7-E9-E17-E22</f>
        <v>2750000</v>
      </c>
    </row>
    <row r="35" spans="2:6" s="5" customFormat="1" ht="12.75" thickBot="1" x14ac:dyDescent="0.25">
      <c r="B35" s="58" t="s">
        <v>20</v>
      </c>
      <c r="C35" s="56">
        <f>C34/C5</f>
        <v>7.8787878787878792E-3</v>
      </c>
      <c r="D35" s="56">
        <f>D34/D5</f>
        <v>3.7142857142857144E-2</v>
      </c>
      <c r="E35" s="56">
        <f>E34/E5</f>
        <v>9.6491228070175433E-2</v>
      </c>
    </row>
  </sheetData>
  <mergeCells count="1">
    <mergeCell ref="B2:E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9ABB-03CB-4049-B4BB-9DB30CD94CD9}">
  <sheetPr>
    <tabColor theme="6" tint="0.39997558519241921"/>
  </sheetPr>
  <dimension ref="A1:P35"/>
  <sheetViews>
    <sheetView showGridLines="0" workbookViewId="0"/>
  </sheetViews>
  <sheetFormatPr defaultColWidth="8.85546875" defaultRowHeight="12" x14ac:dyDescent="0.2"/>
  <cols>
    <col min="1" max="1" width="4.42578125" style="1" customWidth="1"/>
    <col min="2" max="2" width="33.85546875" style="1" bestFit="1" customWidth="1"/>
    <col min="3" max="4" width="8.85546875" style="1" bestFit="1" customWidth="1"/>
    <col min="5" max="5" width="8.42578125" style="1" customWidth="1"/>
    <col min="6" max="10" width="8.85546875" style="1" bestFit="1" customWidth="1"/>
    <col min="11" max="13" width="8.85546875" style="1"/>
    <col min="14" max="14" width="9.5703125" style="1" customWidth="1"/>
    <col min="15" max="15" width="9.5703125" style="1" bestFit="1" customWidth="1"/>
    <col min="16" max="16" width="1.140625" style="1" customWidth="1"/>
    <col min="17" max="16384" width="8.85546875" style="1"/>
  </cols>
  <sheetData>
    <row r="1" spans="2:16" ht="5.0999999999999996" customHeight="1" thickBot="1" x14ac:dyDescent="0.25"/>
    <row r="2" spans="2:16" ht="24.95" customHeight="1" x14ac:dyDescent="0.2">
      <c r="B2" s="220" t="s">
        <v>37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</row>
    <row r="3" spans="2:16" ht="3.95" customHeight="1" thickBot="1" x14ac:dyDescent="0.25"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2:16" x14ac:dyDescent="0.2">
      <c r="B4" s="59" t="s">
        <v>36</v>
      </c>
      <c r="C4" s="29" t="s">
        <v>0</v>
      </c>
      <c r="D4" s="30" t="s">
        <v>1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9</v>
      </c>
      <c r="M4" s="30" t="s">
        <v>10</v>
      </c>
      <c r="N4" s="31" t="s">
        <v>11</v>
      </c>
      <c r="O4" s="32" t="s">
        <v>12</v>
      </c>
    </row>
    <row r="5" spans="2:16" s="5" customFormat="1" x14ac:dyDescent="0.2">
      <c r="B5" s="33" t="s">
        <v>23</v>
      </c>
      <c r="C5" s="34">
        <f>Výnosy!F18+Výnosy!F37</f>
        <v>2720547.0038909814</v>
      </c>
      <c r="D5" s="34">
        <f>Výnosy!G18+Výnosy!G37</f>
        <v>2747182.9013593285</v>
      </c>
      <c r="E5" s="34">
        <f>Výnosy!H18+Výnosy!H37</f>
        <v>2774085.388642062</v>
      </c>
      <c r="F5" s="34">
        <f>Výnosy!I18+Výnosy!I37</f>
        <v>3100340.5233898843</v>
      </c>
      <c r="G5" s="34">
        <f>Výnosy!J18+Výnosy!J37</f>
        <v>3261159.3916313667</v>
      </c>
      <c r="H5" s="34">
        <f>Výnosy!K18+Výnosy!K37</f>
        <v>3252732.8549862318</v>
      </c>
      <c r="I5" s="34">
        <f>Výnosy!L18+Výnosy!L37</f>
        <v>3636401.9851403423</v>
      </c>
      <c r="J5" s="34">
        <f>Výnosy!M18+Výnosy!M37</f>
        <v>3980762.496696284</v>
      </c>
      <c r="K5" s="34">
        <f>Výnosy!N18+Výnosy!N37</f>
        <v>4246233.8664074019</v>
      </c>
      <c r="L5" s="34">
        <f>Výnosy!O18+Výnosy!O37</f>
        <v>4274485.6003244044</v>
      </c>
      <c r="M5" s="34">
        <f>Výnosy!P18+Výnosy!P37</f>
        <v>4303020.5674394108</v>
      </c>
      <c r="N5" s="34">
        <f>Výnosy!Q18+Výnosy!Q37</f>
        <v>4331841.6666666679</v>
      </c>
      <c r="O5" s="35">
        <f>SUM(C5:N5)</f>
        <v>42628794.246574372</v>
      </c>
    </row>
    <row r="6" spans="2:16" ht="4.7" customHeight="1" x14ac:dyDescent="0.2"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3"/>
    </row>
    <row r="7" spans="2:16" x14ac:dyDescent="0.2">
      <c r="B7" s="36" t="s">
        <v>24</v>
      </c>
      <c r="C7" s="37">
        <f>'Přímé náklady'!E19+'Přímé náklady'!E56</f>
        <v>1165912.2185222509</v>
      </c>
      <c r="D7" s="37">
        <f>'Přímé náklady'!F19+'Přímé náklady'!F56</f>
        <v>1177693.4847167486</v>
      </c>
      <c r="E7" s="37">
        <f>'Přímé náklady'!G19+'Přímé náklady'!G56</f>
        <v>1189596.5707964862</v>
      </c>
      <c r="F7" s="37">
        <f>'Přímé náklady'!H19+'Přímé náklady'!H56</f>
        <v>1320023.3876441934</v>
      </c>
      <c r="G7" s="37">
        <f>'Přímé náklady'!I19+'Přímé náklady'!I56</f>
        <v>1380188.9849614729</v>
      </c>
      <c r="H7" s="37">
        <f>'Přímé náklady'!J19+'Přímé náklady'!J56</f>
        <v>1375154.6766480466</v>
      </c>
      <c r="I7" s="37">
        <f>'Přímé náklady'!K19+'Přímé náklady'!K56</f>
        <v>1531583.5505889708</v>
      </c>
      <c r="J7" s="37">
        <f>'Přímé náklady'!L19+'Přímé náklady'!L56</f>
        <v>1672106.9163377502</v>
      </c>
      <c r="K7" s="37">
        <f>'Přímé náklady'!M19+'Přímé náklady'!M56</f>
        <v>1770007.352426969</v>
      </c>
      <c r="L7" s="37">
        <f>'Přímé náklady'!N19+'Přímé náklady'!N56</f>
        <v>1782536.2016780383</v>
      </c>
      <c r="M7" s="37">
        <f>'Přímé náklady'!O19+'Přímé náklady'!O56</f>
        <v>1795194.8213572125</v>
      </c>
      <c r="N7" s="37">
        <f>'Přímé náklady'!P19+'Přímé náklady'!P56</f>
        <v>1807984.5833333342</v>
      </c>
      <c r="O7" s="38">
        <f>SUM(C7:N7)</f>
        <v>17967982.749011476</v>
      </c>
    </row>
    <row r="8" spans="2:16" x14ac:dyDescent="0.2">
      <c r="B8" s="167" t="s">
        <v>25</v>
      </c>
      <c r="C8" s="39">
        <f>C7/C5</f>
        <v>0.42855801309616764</v>
      </c>
      <c r="D8" s="39">
        <f>D7/D5</f>
        <v>0.42869132744456739</v>
      </c>
      <c r="E8" s="39">
        <f>E7/E5</f>
        <v>0.42882478515875955</v>
      </c>
      <c r="F8" s="39">
        <f>F7/F5</f>
        <v>0.42576722707894415</v>
      </c>
      <c r="G8" s="39">
        <f t="shared" ref="G8:M8" si="0">G7/G5</f>
        <v>0.42322033952196531</v>
      </c>
      <c r="H8" s="39">
        <f t="shared" si="0"/>
        <v>0.42276901853160864</v>
      </c>
      <c r="I8" s="39">
        <f t="shared" si="0"/>
        <v>0.42118103467316781</v>
      </c>
      <c r="J8" s="39">
        <f t="shared" si="0"/>
        <v>0.42004689245476606</v>
      </c>
      <c r="K8" s="39">
        <f t="shared" si="0"/>
        <v>0.41684170210919486</v>
      </c>
      <c r="L8" s="39">
        <f t="shared" si="0"/>
        <v>0.41701771121717102</v>
      </c>
      <c r="M8" s="39">
        <f t="shared" si="0"/>
        <v>0.41719410660997031</v>
      </c>
      <c r="N8" s="40">
        <f>N7/N5</f>
        <v>0.41737088343872225</v>
      </c>
      <c r="O8" s="41">
        <f>O7/O5</f>
        <v>0.42149873264255822</v>
      </c>
    </row>
    <row r="9" spans="2:16" x14ac:dyDescent="0.2">
      <c r="B9" s="36" t="s">
        <v>26</v>
      </c>
      <c r="C9" s="37">
        <f>'Přímé náklady'!E37+'Přímé náklady'!E73</f>
        <v>108756.01485035494</v>
      </c>
      <c r="D9" s="37">
        <f>'Přímé náklady'!F37+'Přímé náklady'!F73</f>
        <v>109803.74531236009</v>
      </c>
      <c r="E9" s="37">
        <f>'Přímé náklady'!G37+'Přímé náklady'!G73</f>
        <v>110861.79412497816</v>
      </c>
      <c r="F9" s="37">
        <f>'Přímé náklady'!H37+'Přímé náklady'!H73</f>
        <v>125085.8900810988</v>
      </c>
      <c r="G9" s="37">
        <f>'Přímé náklady'!I37+'Přímé náklady'!I73</f>
        <v>131499.88803854719</v>
      </c>
      <c r="H9" s="37">
        <f>'Přímé náklady'!J37+'Přímé náklady'!J73</f>
        <v>131122.38108383113</v>
      </c>
      <c r="I9" s="37">
        <f>'Přímé náklady'!K37+'Přímé náklady'!K73</f>
        <v>148231.31387415592</v>
      </c>
      <c r="J9" s="37">
        <f>'Přímé náklady'!L37+'Přímé náklady'!L73</f>
        <v>163569.62106906989</v>
      </c>
      <c r="K9" s="37">
        <f>'Přímé náklady'!M37+'Přímé náklady'!M73</f>
        <v>174168.65964641876</v>
      </c>
      <c r="L9" s="37">
        <f>'Přímé náklady'!N37+'Přímé náklady'!N73</f>
        <v>175278.53768267643</v>
      </c>
      <c r="M9" s="37">
        <f>'Přímé náklady'!O37+'Přímé náklady'!O73</f>
        <v>176399.36436443217</v>
      </c>
      <c r="N9" s="37">
        <f>'Přímé náklady'!P37+'Přímé náklady'!P73</f>
        <v>177531.25000000009</v>
      </c>
      <c r="O9" s="38">
        <f>SUM(C9:N9)</f>
        <v>1732308.4601279239</v>
      </c>
    </row>
    <row r="10" spans="2:16" x14ac:dyDescent="0.2">
      <c r="B10" s="167" t="s">
        <v>27</v>
      </c>
      <c r="C10" s="39">
        <f>C9/C5</f>
        <v>3.9975789683034287E-2</v>
      </c>
      <c r="D10" s="40">
        <f t="shared" ref="D10:O10" si="1">D9/D5</f>
        <v>3.9969579476498741E-2</v>
      </c>
      <c r="E10" s="40">
        <f t="shared" si="1"/>
        <v>3.9963367594551921E-2</v>
      </c>
      <c r="F10" s="40">
        <f t="shared" si="1"/>
        <v>4.0345855281835631E-2</v>
      </c>
      <c r="G10" s="40">
        <f t="shared" si="1"/>
        <v>4.032304841523416E-2</v>
      </c>
      <c r="H10" s="40">
        <f t="shared" si="1"/>
        <v>4.0311450995069852E-2</v>
      </c>
      <c r="I10" s="40">
        <f t="shared" si="1"/>
        <v>4.0763181430403694E-2</v>
      </c>
      <c r="J10" s="40">
        <f t="shared" si="1"/>
        <v>4.1090022628785229E-2</v>
      </c>
      <c r="K10" s="40">
        <f t="shared" si="1"/>
        <v>4.1017208454836501E-2</v>
      </c>
      <c r="L10" s="40">
        <f t="shared" si="1"/>
        <v>4.1005761645184623E-2</v>
      </c>
      <c r="M10" s="40">
        <f t="shared" si="1"/>
        <v>4.0994311228542829E-2</v>
      </c>
      <c r="N10" s="40">
        <f t="shared" si="1"/>
        <v>4.0982857560583362E-2</v>
      </c>
      <c r="O10" s="41">
        <f t="shared" si="1"/>
        <v>4.0637050396215027E-2</v>
      </c>
    </row>
    <row r="11" spans="2:16" x14ac:dyDescent="0.2">
      <c r="B11" s="42" t="s">
        <v>28</v>
      </c>
      <c r="C11" s="39">
        <f>(C5-C7-C9)/C5</f>
        <v>0.53146619722079802</v>
      </c>
      <c r="D11" s="39">
        <f t="shared" ref="D11:O11" si="2">(D5-D7-D9)/D5</f>
        <v>0.5313390930789339</v>
      </c>
      <c r="E11" s="39">
        <f t="shared" si="2"/>
        <v>0.53121184724668857</v>
      </c>
      <c r="F11" s="39">
        <f t="shared" si="2"/>
        <v>0.53388691763922025</v>
      </c>
      <c r="G11" s="39">
        <f t="shared" si="2"/>
        <v>0.53645661206280049</v>
      </c>
      <c r="H11" s="39">
        <f t="shared" si="2"/>
        <v>0.53691953047332142</v>
      </c>
      <c r="I11" s="39">
        <f t="shared" si="2"/>
        <v>0.53805578389642839</v>
      </c>
      <c r="J11" s="39">
        <f t="shared" si="2"/>
        <v>0.53886308491644874</v>
      </c>
      <c r="K11" s="39">
        <f t="shared" si="2"/>
        <v>0.54214108943596862</v>
      </c>
      <c r="L11" s="39">
        <f t="shared" si="2"/>
        <v>0.54197652713764433</v>
      </c>
      <c r="M11" s="39">
        <f t="shared" si="2"/>
        <v>0.54181158216148684</v>
      </c>
      <c r="N11" s="40">
        <f t="shared" si="2"/>
        <v>0.54164625900069441</v>
      </c>
      <c r="O11" s="41">
        <f t="shared" si="2"/>
        <v>0.53786421696122677</v>
      </c>
    </row>
    <row r="12" spans="2:16" s="11" customFormat="1" x14ac:dyDescent="0.2">
      <c r="B12" s="33" t="s">
        <v>73</v>
      </c>
      <c r="C12" s="34">
        <f>C5-C7-C9</f>
        <v>1445878.7705183756</v>
      </c>
      <c r="D12" s="34">
        <f t="shared" ref="D12:M12" si="3">D5-D7-D9</f>
        <v>1459685.6713302198</v>
      </c>
      <c r="E12" s="34">
        <f t="shared" si="3"/>
        <v>1473627.0237205976</v>
      </c>
      <c r="F12" s="34">
        <f t="shared" si="3"/>
        <v>1655231.2456645921</v>
      </c>
      <c r="G12" s="34">
        <f t="shared" si="3"/>
        <v>1749470.5186313465</v>
      </c>
      <c r="H12" s="34">
        <f t="shared" si="3"/>
        <v>1746455.797254354</v>
      </c>
      <c r="I12" s="34">
        <f t="shared" si="3"/>
        <v>1956587.1206772153</v>
      </c>
      <c r="J12" s="34">
        <f>J5-J7-J9</f>
        <v>2145085.9592894642</v>
      </c>
      <c r="K12" s="34">
        <f t="shared" si="3"/>
        <v>2302057.854334014</v>
      </c>
      <c r="L12" s="34">
        <f t="shared" si="3"/>
        <v>2316670.8609636896</v>
      </c>
      <c r="M12" s="34">
        <f t="shared" si="3"/>
        <v>2331426.3817177662</v>
      </c>
      <c r="N12" s="34">
        <f>N5-N7-N9</f>
        <v>2346325.833333334</v>
      </c>
      <c r="O12" s="35">
        <f>SUM(C12:N12)</f>
        <v>22928503.037434973</v>
      </c>
      <c r="P12" s="12"/>
    </row>
    <row r="13" spans="2:16" ht="6.6" customHeight="1" x14ac:dyDescent="0.2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3"/>
    </row>
    <row r="14" spans="2:16" s="5" customFormat="1" x14ac:dyDescent="0.2">
      <c r="B14" s="2" t="s">
        <v>29</v>
      </c>
      <c r="C14" s="7">
        <f>C5*7%</f>
        <v>190438.29027236873</v>
      </c>
      <c r="D14" s="7">
        <f t="shared" ref="D14:N14" si="4">D5*7%</f>
        <v>192302.80309515301</v>
      </c>
      <c r="E14" s="7">
        <f t="shared" si="4"/>
        <v>194185.97720494436</v>
      </c>
      <c r="F14" s="7">
        <f t="shared" si="4"/>
        <v>217023.83663729191</v>
      </c>
      <c r="G14" s="7">
        <f t="shared" si="4"/>
        <v>228281.15741419568</v>
      </c>
      <c r="H14" s="7">
        <f t="shared" si="4"/>
        <v>227691.29984903624</v>
      </c>
      <c r="I14" s="7">
        <f t="shared" si="4"/>
        <v>254548.13895982399</v>
      </c>
      <c r="J14" s="7">
        <f t="shared" si="4"/>
        <v>278653.37476873992</v>
      </c>
      <c r="K14" s="7">
        <f t="shared" si="4"/>
        <v>297236.37064851815</v>
      </c>
      <c r="L14" s="7">
        <f t="shared" si="4"/>
        <v>299213.99202270835</v>
      </c>
      <c r="M14" s="7">
        <f t="shared" si="4"/>
        <v>301211.43972075876</v>
      </c>
      <c r="N14" s="7">
        <f t="shared" si="4"/>
        <v>303228.9166666668</v>
      </c>
      <c r="O14" s="4">
        <f>SUM(C14:N14)</f>
        <v>2984015.5972602065</v>
      </c>
    </row>
    <row r="15" spans="2:16" x14ac:dyDescent="0.2">
      <c r="B15" s="57" t="s">
        <v>30</v>
      </c>
      <c r="C15" s="7">
        <f>C14</f>
        <v>190438.29027236873</v>
      </c>
      <c r="D15" s="7">
        <f t="shared" ref="D15:N15" si="5">D14</f>
        <v>192302.80309515301</v>
      </c>
      <c r="E15" s="7">
        <f t="shared" si="5"/>
        <v>194185.97720494436</v>
      </c>
      <c r="F15" s="7">
        <f t="shared" si="5"/>
        <v>217023.83663729191</v>
      </c>
      <c r="G15" s="7">
        <f t="shared" si="5"/>
        <v>228281.15741419568</v>
      </c>
      <c r="H15" s="7">
        <f t="shared" si="5"/>
        <v>227691.29984903624</v>
      </c>
      <c r="I15" s="7">
        <f t="shared" si="5"/>
        <v>254548.13895982399</v>
      </c>
      <c r="J15" s="7">
        <f t="shared" si="5"/>
        <v>278653.37476873992</v>
      </c>
      <c r="K15" s="7">
        <f t="shared" si="5"/>
        <v>297236.37064851815</v>
      </c>
      <c r="L15" s="7">
        <f t="shared" si="5"/>
        <v>299213.99202270835</v>
      </c>
      <c r="M15" s="7">
        <f t="shared" si="5"/>
        <v>301211.43972075876</v>
      </c>
      <c r="N15" s="7">
        <f t="shared" si="5"/>
        <v>303228.9166666668</v>
      </c>
      <c r="O15" s="171">
        <f>SUM(C15:N15)</f>
        <v>2984015.5972602065</v>
      </c>
      <c r="P15" s="17"/>
    </row>
    <row r="16" spans="2:16" ht="6.6" customHeight="1" x14ac:dyDescent="0.2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3"/>
    </row>
    <row r="17" spans="1:16" s="5" customFormat="1" x14ac:dyDescent="0.2">
      <c r="B17" s="43" t="s">
        <v>31</v>
      </c>
      <c r="C17" s="34">
        <f ca="1">SUM(C18:C19)</f>
        <v>542250</v>
      </c>
      <c r="D17" s="44">
        <f t="shared" ref="D17:N17" ca="1" si="6">SUM(D18:D19)</f>
        <v>392250</v>
      </c>
      <c r="E17" s="44">
        <f t="shared" ca="1" si="6"/>
        <v>392250</v>
      </c>
      <c r="F17" s="44">
        <f t="shared" ca="1" si="6"/>
        <v>392250</v>
      </c>
      <c r="G17" s="44">
        <f t="shared" ca="1" si="6"/>
        <v>572250</v>
      </c>
      <c r="H17" s="44">
        <f t="shared" ca="1" si="6"/>
        <v>572250</v>
      </c>
      <c r="I17" s="44">
        <f t="shared" ca="1" si="6"/>
        <v>572250</v>
      </c>
      <c r="J17" s="44">
        <f t="shared" ca="1" si="6"/>
        <v>572250</v>
      </c>
      <c r="K17" s="44">
        <f t="shared" ca="1" si="6"/>
        <v>597250</v>
      </c>
      <c r="L17" s="44">
        <f t="shared" ca="1" si="6"/>
        <v>597250</v>
      </c>
      <c r="M17" s="44">
        <f t="shared" ca="1" si="6"/>
        <v>597250</v>
      </c>
      <c r="N17" s="45">
        <f t="shared" ca="1" si="6"/>
        <v>572250</v>
      </c>
      <c r="O17" s="35">
        <f ca="1">SUM(C17:N17)</f>
        <v>6372000</v>
      </c>
    </row>
    <row r="18" spans="1:16" x14ac:dyDescent="0.2">
      <c r="B18" s="36" t="s">
        <v>13</v>
      </c>
      <c r="C18" s="37">
        <f>SUMIF(PEREX!$D$3:$D$33,PEREX!$D$29,PEREX!J3:J33)+Marketing!C13</f>
        <v>353250</v>
      </c>
      <c r="D18" s="37">
        <f>SUMIF(PEREX!$D$3:$D$33,PEREX!$D$29,PEREX!K3:K33)+Marketing!D13</f>
        <v>203250</v>
      </c>
      <c r="E18" s="37">
        <f>SUMIF(PEREX!$D$3:$D$33,PEREX!$D$29,PEREX!L3:L33)+Marketing!E13</f>
        <v>203250</v>
      </c>
      <c r="F18" s="37">
        <f>SUMIF(PEREX!$D$3:$D$33,PEREX!$D$29,PEREX!M3:M33)+Marketing!F13</f>
        <v>203250</v>
      </c>
      <c r="G18" s="37">
        <f>SUMIF(PEREX!$D$3:$D$33,PEREX!$D$29,PEREX!N3:N33)+Marketing!G13</f>
        <v>203250</v>
      </c>
      <c r="H18" s="37">
        <f>SUMIF(PEREX!$D$3:$D$33,PEREX!$D$29,PEREX!O3:O33)+Marketing!H13</f>
        <v>203250</v>
      </c>
      <c r="I18" s="37">
        <f>SUMIF(PEREX!$D$3:$D$33,PEREX!$D$29,PEREX!P3:P33)+Marketing!I13</f>
        <v>203250</v>
      </c>
      <c r="J18" s="37">
        <f>SUMIF(PEREX!$D$3:$D$33,PEREX!$D$29,PEREX!Q3:Q33)+Marketing!J13</f>
        <v>203250</v>
      </c>
      <c r="K18" s="37">
        <f>SUMIF(PEREX!$D$3:$D$33,PEREX!$D$29,PEREX!R3:R33)+Marketing!K13</f>
        <v>228250</v>
      </c>
      <c r="L18" s="37">
        <f>SUMIF(PEREX!$D$3:$D$33,PEREX!$D$29,PEREX!S3:S33)+Marketing!L13</f>
        <v>228250</v>
      </c>
      <c r="M18" s="37">
        <f>SUMIF(PEREX!$D$3:$D$33,PEREX!$D$29,PEREX!T3:T33)+Marketing!M13</f>
        <v>228250</v>
      </c>
      <c r="N18" s="37">
        <f>SUMIF(PEREX!$D$3:$D$33,PEREX!$D$29,PEREX!U3:U33)+Marketing!N13</f>
        <v>203250</v>
      </c>
      <c r="O18" s="38">
        <f t="shared" ref="O18" si="7">SUM(C18:N18)</f>
        <v>2664000</v>
      </c>
    </row>
    <row r="19" spans="1:16" x14ac:dyDescent="0.2">
      <c r="B19" s="36" t="s">
        <v>32</v>
      </c>
      <c r="C19" s="37">
        <f ca="1">PEREX!J41</f>
        <v>189000</v>
      </c>
      <c r="D19" s="37">
        <f ca="1">PEREX!K41</f>
        <v>189000</v>
      </c>
      <c r="E19" s="37">
        <f ca="1">PEREX!L41</f>
        <v>189000</v>
      </c>
      <c r="F19" s="37">
        <f ca="1">PEREX!M41</f>
        <v>189000</v>
      </c>
      <c r="G19" s="37">
        <f ca="1">PEREX!N41</f>
        <v>369000</v>
      </c>
      <c r="H19" s="37">
        <f ca="1">PEREX!O41</f>
        <v>369000</v>
      </c>
      <c r="I19" s="37">
        <f ca="1">PEREX!P41</f>
        <v>369000</v>
      </c>
      <c r="J19" s="37">
        <f ca="1">PEREX!Q41</f>
        <v>369000</v>
      </c>
      <c r="K19" s="37">
        <f ca="1">PEREX!R41</f>
        <v>369000</v>
      </c>
      <c r="L19" s="37">
        <f ca="1">PEREX!S41</f>
        <v>369000</v>
      </c>
      <c r="M19" s="37">
        <f ca="1">PEREX!T41</f>
        <v>369000</v>
      </c>
      <c r="N19" s="37">
        <f ca="1">PEREX!U41</f>
        <v>369000</v>
      </c>
      <c r="O19" s="38">
        <f ca="1">SUM(C19:N19)</f>
        <v>3708000</v>
      </c>
    </row>
    <row r="20" spans="1:16" s="11" customFormat="1" x14ac:dyDescent="0.2">
      <c r="B20" s="42" t="s">
        <v>33</v>
      </c>
      <c r="C20" s="39">
        <f ca="1">C17/C5</f>
        <v>0.19931653422067808</v>
      </c>
      <c r="D20" s="46">
        <f t="shared" ref="D20:O20" ca="1" si="8">D17/D5</f>
        <v>0.1427826300920523</v>
      </c>
      <c r="E20" s="46">
        <f t="shared" ca="1" si="8"/>
        <v>0.14139795465777269</v>
      </c>
      <c r="F20" s="46">
        <f t="shared" ca="1" si="8"/>
        <v>0.12651836049645199</v>
      </c>
      <c r="G20" s="46">
        <f t="shared" ca="1" si="8"/>
        <v>0.17547440381739113</v>
      </c>
      <c r="H20" s="46">
        <f t="shared" ca="1" si="8"/>
        <v>0.17592898818074693</v>
      </c>
      <c r="I20" s="46">
        <f t="shared" ca="1" si="8"/>
        <v>0.15736709042026187</v>
      </c>
      <c r="J20" s="46">
        <f t="shared" ca="1" si="8"/>
        <v>0.14375386636980275</v>
      </c>
      <c r="K20" s="46">
        <f t="shared" ca="1" si="8"/>
        <v>0.14065405222376823</v>
      </c>
      <c r="L20" s="46">
        <f t="shared" ca="1" si="8"/>
        <v>0.13972441501608351</v>
      </c>
      <c r="M20" s="46">
        <f t="shared" ca="1" si="8"/>
        <v>0.13879784924091224</v>
      </c>
      <c r="N20" s="47">
        <f t="shared" ca="1" si="8"/>
        <v>0.13210316628223942</v>
      </c>
      <c r="O20" s="48">
        <f t="shared" ca="1" si="8"/>
        <v>0.14947643048834416</v>
      </c>
    </row>
    <row r="21" spans="1:16" ht="6.6" customHeight="1" x14ac:dyDescent="0.2">
      <c r="B21" s="1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3"/>
    </row>
    <row r="22" spans="1:16" s="5" customFormat="1" x14ac:dyDescent="0.2">
      <c r="B22" s="18" t="s">
        <v>35</v>
      </c>
      <c r="C22" s="3">
        <f t="shared" ref="C22:N22" si="9">SUM(C23:C31)</f>
        <v>906662.78147774911</v>
      </c>
      <c r="D22" s="19">
        <f t="shared" si="9"/>
        <v>894881.51528325141</v>
      </c>
      <c r="E22" s="19">
        <f t="shared" si="9"/>
        <v>882978.42920351378</v>
      </c>
      <c r="F22" s="19">
        <f t="shared" si="9"/>
        <v>711551.61235580663</v>
      </c>
      <c r="G22" s="19">
        <f t="shared" si="9"/>
        <v>856386.01503852708</v>
      </c>
      <c r="H22" s="19">
        <f t="shared" si="9"/>
        <v>943064.07335195341</v>
      </c>
      <c r="I22" s="19">
        <f t="shared" si="9"/>
        <v>940283.63691102923</v>
      </c>
      <c r="J22" s="19">
        <f t="shared" si="9"/>
        <v>940966.13053724985</v>
      </c>
      <c r="K22" s="19">
        <f t="shared" si="9"/>
        <v>844331.84679178102</v>
      </c>
      <c r="L22" s="19">
        <f t="shared" si="9"/>
        <v>893132.45750164916</v>
      </c>
      <c r="M22" s="19">
        <f t="shared" si="9"/>
        <v>881869.7707814594</v>
      </c>
      <c r="N22" s="20">
        <f t="shared" si="9"/>
        <v>870545.73841227125</v>
      </c>
      <c r="O22" s="4">
        <f>SUM(C22:N22)</f>
        <v>10566654.00764624</v>
      </c>
    </row>
    <row r="23" spans="1:16" x14ac:dyDescent="0.2">
      <c r="A23" s="21"/>
      <c r="B23" s="6" t="s">
        <v>82</v>
      </c>
      <c r="C23" s="7">
        <f>PEREX!J40+PEREX!J39</f>
        <v>592837.78147774911</v>
      </c>
      <c r="D23" s="7">
        <f>PEREX!K40+PEREX!K39</f>
        <v>581056.51528325141</v>
      </c>
      <c r="E23" s="7">
        <f>PEREX!L40+PEREX!L39</f>
        <v>569153.42920351378</v>
      </c>
      <c r="F23" s="7">
        <f>PEREX!M40+PEREX!M39</f>
        <v>397726.61235580663</v>
      </c>
      <c r="G23" s="7">
        <f>PEREX!N40+PEREX!N39</f>
        <v>542561.01503852708</v>
      </c>
      <c r="H23" s="7">
        <f>PEREX!O40+PEREX!O39</f>
        <v>547595.32335195341</v>
      </c>
      <c r="I23" s="7">
        <f>PEREX!P40+PEREX!P39</f>
        <v>511166.44941102923</v>
      </c>
      <c r="J23" s="7">
        <f>PEREX!Q40+PEREX!Q39</f>
        <v>510643.08366224985</v>
      </c>
      <c r="K23" s="7">
        <f>PEREX!R40+PEREX!R39</f>
        <v>412742.64757303102</v>
      </c>
      <c r="L23" s="7">
        <f>PEREX!S40+PEREX!S39</f>
        <v>400213.79832196166</v>
      </c>
      <c r="M23" s="7">
        <f>PEREX!T40+PEREX!T39</f>
        <v>387555.1786427875</v>
      </c>
      <c r="N23" s="7">
        <f>PEREX!U40+PEREX!U39</f>
        <v>374765.41666666581</v>
      </c>
      <c r="O23" s="8">
        <f t="shared" ref="O23:O31" si="10">SUM(C23:N23)</f>
        <v>5828017.2509885263</v>
      </c>
    </row>
    <row r="24" spans="1:16" x14ac:dyDescent="0.2">
      <c r="B24" s="6" t="s">
        <v>22</v>
      </c>
      <c r="C24" s="7">
        <v>35000</v>
      </c>
      <c r="D24" s="7">
        <v>35000</v>
      </c>
      <c r="E24" s="7">
        <v>35000</v>
      </c>
      <c r="F24" s="7">
        <v>35000</v>
      </c>
      <c r="G24" s="7">
        <v>35000</v>
      </c>
      <c r="H24" s="7">
        <v>35000</v>
      </c>
      <c r="I24" s="7">
        <v>60000</v>
      </c>
      <c r="J24" s="7">
        <v>60000</v>
      </c>
      <c r="K24" s="7">
        <v>60000</v>
      </c>
      <c r="L24" s="7">
        <v>60000</v>
      </c>
      <c r="M24" s="7">
        <v>60000</v>
      </c>
      <c r="N24" s="7">
        <v>60000</v>
      </c>
      <c r="O24" s="8">
        <f t="shared" si="10"/>
        <v>570000</v>
      </c>
      <c r="P24" s="17"/>
    </row>
    <row r="25" spans="1:16" x14ac:dyDescent="0.2">
      <c r="B25" s="6" t="s">
        <v>14</v>
      </c>
      <c r="C25" s="7">
        <v>40000</v>
      </c>
      <c r="D25" s="7">
        <v>40000</v>
      </c>
      <c r="E25" s="7">
        <v>40000</v>
      </c>
      <c r="F25" s="7">
        <v>40000</v>
      </c>
      <c r="G25" s="7">
        <v>40000</v>
      </c>
      <c r="H25" s="7">
        <v>40000</v>
      </c>
      <c r="I25" s="7">
        <v>40000</v>
      </c>
      <c r="J25" s="7">
        <v>40000</v>
      </c>
      <c r="K25" s="7">
        <v>40000</v>
      </c>
      <c r="L25" s="7">
        <v>40000</v>
      </c>
      <c r="M25" s="7">
        <v>40000</v>
      </c>
      <c r="N25" s="7">
        <v>40000</v>
      </c>
      <c r="O25" s="8">
        <f t="shared" si="10"/>
        <v>480000</v>
      </c>
      <c r="P25" s="17"/>
    </row>
    <row r="26" spans="1:16" x14ac:dyDescent="0.2">
      <c r="B26" s="6" t="s">
        <v>76</v>
      </c>
      <c r="C26" s="7">
        <f>PEREX!J43</f>
        <v>35700</v>
      </c>
      <c r="D26" s="7">
        <f>PEREX!K43</f>
        <v>35700</v>
      </c>
      <c r="E26" s="7">
        <f>PEREX!L43</f>
        <v>35700</v>
      </c>
      <c r="F26" s="7">
        <f>PEREX!M43</f>
        <v>35700</v>
      </c>
      <c r="G26" s="7">
        <f>PEREX!N43</f>
        <v>35700</v>
      </c>
      <c r="H26" s="7">
        <v>75000</v>
      </c>
      <c r="I26" s="7">
        <v>75000</v>
      </c>
      <c r="J26" s="7">
        <v>75000</v>
      </c>
      <c r="K26" s="7">
        <v>75000</v>
      </c>
      <c r="L26" s="7">
        <v>75000</v>
      </c>
      <c r="M26" s="7">
        <v>75000</v>
      </c>
      <c r="N26" s="7">
        <v>75000</v>
      </c>
      <c r="O26" s="8">
        <f t="shared" si="10"/>
        <v>703500</v>
      </c>
      <c r="P26" s="17"/>
    </row>
    <row r="27" spans="1:16" x14ac:dyDescent="0.2">
      <c r="B27" s="6" t="s">
        <v>15</v>
      </c>
      <c r="C27" s="7">
        <v>78750</v>
      </c>
      <c r="D27" s="7">
        <v>78750</v>
      </c>
      <c r="E27" s="7">
        <v>78750</v>
      </c>
      <c r="F27" s="7">
        <v>78750</v>
      </c>
      <c r="G27" s="7">
        <v>78750</v>
      </c>
      <c r="H27" s="7">
        <v>120000</v>
      </c>
      <c r="I27" s="7">
        <v>120000</v>
      </c>
      <c r="J27" s="7">
        <v>120000</v>
      </c>
      <c r="K27" s="7">
        <v>120000</v>
      </c>
      <c r="L27" s="7">
        <v>180000</v>
      </c>
      <c r="M27" s="7">
        <v>180000</v>
      </c>
      <c r="N27" s="7">
        <v>180000</v>
      </c>
      <c r="O27" s="8">
        <f t="shared" si="10"/>
        <v>1413750</v>
      </c>
      <c r="P27" s="17"/>
    </row>
    <row r="28" spans="1:16" x14ac:dyDescent="0.2">
      <c r="B28" s="6" t="s">
        <v>16</v>
      </c>
      <c r="C28" s="7">
        <v>17500</v>
      </c>
      <c r="D28" s="7">
        <v>17500</v>
      </c>
      <c r="E28" s="7">
        <v>17500</v>
      </c>
      <c r="F28" s="7">
        <v>17500</v>
      </c>
      <c r="G28" s="7">
        <v>17500</v>
      </c>
      <c r="H28" s="7">
        <v>17500</v>
      </c>
      <c r="I28" s="7">
        <v>25000</v>
      </c>
      <c r="J28" s="7">
        <v>25000</v>
      </c>
      <c r="K28" s="7">
        <v>25000</v>
      </c>
      <c r="L28" s="7">
        <v>25000</v>
      </c>
      <c r="M28" s="7">
        <v>25000</v>
      </c>
      <c r="N28" s="7">
        <v>25000</v>
      </c>
      <c r="O28" s="8">
        <f t="shared" si="10"/>
        <v>255000</v>
      </c>
      <c r="P28" s="17"/>
    </row>
    <row r="29" spans="1:16" x14ac:dyDescent="0.2">
      <c r="B29" s="6" t="s">
        <v>17</v>
      </c>
      <c r="C29" s="7">
        <v>21875</v>
      </c>
      <c r="D29" s="7">
        <v>21875</v>
      </c>
      <c r="E29" s="7">
        <v>21875</v>
      </c>
      <c r="F29" s="7">
        <v>21875</v>
      </c>
      <c r="G29" s="7">
        <v>21875</v>
      </c>
      <c r="H29" s="7">
        <f>G29*1.05</f>
        <v>22968.75</v>
      </c>
      <c r="I29" s="7">
        <f t="shared" ref="I29:N29" si="11">H29*1.05</f>
        <v>24117.1875</v>
      </c>
      <c r="J29" s="7">
        <f t="shared" si="11"/>
        <v>25323.046875</v>
      </c>
      <c r="K29" s="7">
        <f t="shared" si="11"/>
        <v>26589.19921875</v>
      </c>
      <c r="L29" s="7">
        <f t="shared" si="11"/>
        <v>27918.6591796875</v>
      </c>
      <c r="M29" s="7">
        <f t="shared" si="11"/>
        <v>29314.592138671876</v>
      </c>
      <c r="N29" s="7">
        <f t="shared" si="11"/>
        <v>30780.32174560547</v>
      </c>
      <c r="O29" s="8">
        <f t="shared" si="10"/>
        <v>296386.75665771484</v>
      </c>
      <c r="P29" s="17"/>
    </row>
    <row r="30" spans="1:16" x14ac:dyDescent="0.2">
      <c r="B30" s="6" t="s">
        <v>21</v>
      </c>
      <c r="C30" s="7">
        <v>45000</v>
      </c>
      <c r="D30" s="7">
        <v>45000</v>
      </c>
      <c r="E30" s="7">
        <v>45000</v>
      </c>
      <c r="F30" s="7">
        <v>45000</v>
      </c>
      <c r="G30" s="7">
        <v>45000</v>
      </c>
      <c r="H30" s="7">
        <v>45000</v>
      </c>
      <c r="I30" s="7">
        <v>45000</v>
      </c>
      <c r="J30" s="7">
        <v>45000</v>
      </c>
      <c r="K30" s="7">
        <v>45000</v>
      </c>
      <c r="L30" s="7">
        <v>45000</v>
      </c>
      <c r="M30" s="7">
        <v>45000</v>
      </c>
      <c r="N30" s="7">
        <v>45000</v>
      </c>
      <c r="O30" s="8">
        <f t="shared" si="10"/>
        <v>540000</v>
      </c>
      <c r="P30" s="17"/>
    </row>
    <row r="31" spans="1:16" x14ac:dyDescent="0.2">
      <c r="B31" s="6" t="s">
        <v>18</v>
      </c>
      <c r="C31" s="7">
        <v>40000</v>
      </c>
      <c r="D31" s="7">
        <v>40000</v>
      </c>
      <c r="E31" s="7">
        <v>40000</v>
      </c>
      <c r="F31" s="7">
        <v>40000</v>
      </c>
      <c r="G31" s="7">
        <v>40000</v>
      </c>
      <c r="H31" s="7">
        <v>40000</v>
      </c>
      <c r="I31" s="7">
        <v>40000</v>
      </c>
      <c r="J31" s="7">
        <v>40000</v>
      </c>
      <c r="K31" s="7">
        <v>40000</v>
      </c>
      <c r="L31" s="7">
        <v>40000</v>
      </c>
      <c r="M31" s="7">
        <v>40000</v>
      </c>
      <c r="N31" s="7">
        <v>40000</v>
      </c>
      <c r="O31" s="8">
        <f t="shared" si="10"/>
        <v>480000</v>
      </c>
      <c r="P31" s="17"/>
    </row>
    <row r="32" spans="1:16" x14ac:dyDescent="0.2">
      <c r="B32" s="10" t="s">
        <v>34</v>
      </c>
      <c r="C32" s="9">
        <f t="shared" ref="C32:O32" si="12">C22/C5</f>
        <v>0.33326488392996761</v>
      </c>
      <c r="D32" s="22">
        <f t="shared" si="12"/>
        <v>0.32574515327700121</v>
      </c>
      <c r="E32" s="22">
        <f t="shared" si="12"/>
        <v>0.31829533179428882</v>
      </c>
      <c r="F32" s="22">
        <f t="shared" si="12"/>
        <v>0.22950756763253946</v>
      </c>
      <c r="G32" s="22">
        <f t="shared" si="12"/>
        <v>0.2626017045459797</v>
      </c>
      <c r="H32" s="22">
        <f t="shared" si="12"/>
        <v>0.28992976533756726</v>
      </c>
      <c r="I32" s="22">
        <f t="shared" si="12"/>
        <v>0.25857527323804391</v>
      </c>
      <c r="J32" s="22">
        <f t="shared" si="12"/>
        <v>0.23637836502885484</v>
      </c>
      <c r="K32" s="22">
        <f t="shared" si="12"/>
        <v>0.19884252100936264</v>
      </c>
      <c r="L32" s="22">
        <f t="shared" si="12"/>
        <v>0.20894501491217246</v>
      </c>
      <c r="M32" s="22">
        <f t="shared" si="12"/>
        <v>0.20494203012983314</v>
      </c>
      <c r="N32" s="23">
        <f t="shared" si="12"/>
        <v>0.20096434851510908</v>
      </c>
      <c r="O32" s="24">
        <f t="shared" si="12"/>
        <v>0.24787597665855565</v>
      </c>
      <c r="P32" s="17"/>
    </row>
    <row r="33" spans="2:16" ht="8.1" customHeight="1" x14ac:dyDescent="0.2">
      <c r="B33" s="13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8"/>
      <c r="P33" s="17"/>
    </row>
    <row r="34" spans="2:16" s="5" customFormat="1" x14ac:dyDescent="0.2">
      <c r="B34" s="49" t="s">
        <v>19</v>
      </c>
      <c r="C34" s="50">
        <f t="shared" ref="C34:O34" ca="1" si="13">C5-C7-C9-C17-C22</f>
        <v>-3034.0109593735542</v>
      </c>
      <c r="D34" s="50">
        <f t="shared" ca="1" si="13"/>
        <v>172554.15604696842</v>
      </c>
      <c r="E34" s="50">
        <f t="shared" ca="1" si="13"/>
        <v>198398.59451708384</v>
      </c>
      <c r="F34" s="50">
        <f t="shared" ca="1" si="13"/>
        <v>551429.6333087855</v>
      </c>
      <c r="G34" s="50">
        <f t="shared" ca="1" si="13"/>
        <v>320834.50359281944</v>
      </c>
      <c r="H34" s="50">
        <f t="shared" ca="1" si="13"/>
        <v>231141.72390240058</v>
      </c>
      <c r="I34" s="50">
        <f t="shared" ca="1" si="13"/>
        <v>444053.48376618605</v>
      </c>
      <c r="J34" s="50">
        <f t="shared" ca="1" si="13"/>
        <v>631869.82875221432</v>
      </c>
      <c r="K34" s="50">
        <f t="shared" ca="1" si="13"/>
        <v>860476.00754223298</v>
      </c>
      <c r="L34" s="50">
        <f t="shared" ca="1" si="13"/>
        <v>826288.40346204047</v>
      </c>
      <c r="M34" s="50">
        <f t="shared" ca="1" si="13"/>
        <v>852306.61093630677</v>
      </c>
      <c r="N34" s="51">
        <f t="shared" ca="1" si="13"/>
        <v>903530.0949210627</v>
      </c>
      <c r="O34" s="52">
        <f t="shared" ca="1" si="13"/>
        <v>5989849.0297887325</v>
      </c>
    </row>
    <row r="35" spans="2:16" s="5" customFormat="1" ht="12.75" thickBot="1" x14ac:dyDescent="0.25">
      <c r="B35" s="58" t="s">
        <v>20</v>
      </c>
      <c r="C35" s="53">
        <f t="shared" ref="C35:O35" ca="1" si="14">C34/C5</f>
        <v>-1.1152209298476558E-3</v>
      </c>
      <c r="D35" s="54">
        <f t="shared" ca="1" si="14"/>
        <v>6.2811309709880331E-2</v>
      </c>
      <c r="E35" s="54">
        <f t="shared" ca="1" si="14"/>
        <v>7.1518560794627026E-2</v>
      </c>
      <c r="F35" s="54">
        <f t="shared" ca="1" si="14"/>
        <v>0.1778609895102288</v>
      </c>
      <c r="G35" s="54">
        <f t="shared" ca="1" si="14"/>
        <v>9.8380503699429661E-2</v>
      </c>
      <c r="H35" s="54">
        <f t="shared" ca="1" si="14"/>
        <v>7.106077695500726E-2</v>
      </c>
      <c r="I35" s="54">
        <f t="shared" ca="1" si="14"/>
        <v>0.12211342023812265</v>
      </c>
      <c r="J35" s="54">
        <f t="shared" ca="1" si="14"/>
        <v>0.15873085351779112</v>
      </c>
      <c r="K35" s="54">
        <f t="shared" ca="1" si="14"/>
        <v>0.20264451620283772</v>
      </c>
      <c r="L35" s="54">
        <f t="shared" ca="1" si="14"/>
        <v>0.19330709720938838</v>
      </c>
      <c r="M35" s="54">
        <f t="shared" ca="1" si="14"/>
        <v>0.19807170279074149</v>
      </c>
      <c r="N35" s="55">
        <f t="shared" ca="1" si="14"/>
        <v>0.20857874420334593</v>
      </c>
      <c r="O35" s="56">
        <f t="shared" ca="1" si="14"/>
        <v>0.14051180981432693</v>
      </c>
    </row>
  </sheetData>
  <mergeCells count="1">
    <mergeCell ref="B2:O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0C2A6-7343-49DF-AC4D-3454F5A10F4A}">
  <sheetPr>
    <tabColor rgb="FFFF0000"/>
  </sheetPr>
  <dimension ref="A1:AC35"/>
  <sheetViews>
    <sheetView showGridLines="0" workbookViewId="0"/>
  </sheetViews>
  <sheetFormatPr defaultColWidth="8.85546875" defaultRowHeight="12" x14ac:dyDescent="0.2"/>
  <cols>
    <col min="1" max="1" width="4.42578125" style="1" customWidth="1"/>
    <col min="2" max="2" width="33.85546875" style="1" bestFit="1" customWidth="1"/>
    <col min="3" max="4" width="8.85546875" style="1" bestFit="1" customWidth="1"/>
    <col min="5" max="5" width="8.42578125" style="1" customWidth="1"/>
    <col min="6" max="10" width="8.85546875" style="1" bestFit="1" customWidth="1"/>
    <col min="11" max="13" width="8.85546875" style="1"/>
    <col min="14" max="14" width="9.5703125" style="1" customWidth="1"/>
    <col min="15" max="15" width="9.5703125" style="1" bestFit="1" customWidth="1"/>
    <col min="16" max="16" width="1.140625" style="1" customWidth="1"/>
    <col min="17" max="16384" width="8.85546875" style="1"/>
  </cols>
  <sheetData>
    <row r="1" spans="2:29" ht="5.0999999999999996" customHeight="1" thickBot="1" x14ac:dyDescent="0.25"/>
    <row r="2" spans="2:29" ht="24.95" customHeight="1" x14ac:dyDescent="0.2">
      <c r="B2" s="220" t="s">
        <v>37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</row>
    <row r="3" spans="2:29" ht="3.95" customHeight="1" thickBot="1" x14ac:dyDescent="0.25"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2:29" x14ac:dyDescent="0.2">
      <c r="B4" s="59" t="s">
        <v>36</v>
      </c>
      <c r="C4" s="29" t="s">
        <v>0</v>
      </c>
      <c r="D4" s="30" t="s">
        <v>1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9</v>
      </c>
      <c r="M4" s="30" t="s">
        <v>10</v>
      </c>
      <c r="N4" s="31" t="s">
        <v>11</v>
      </c>
      <c r="O4" s="32" t="s">
        <v>12</v>
      </c>
      <c r="R4" s="213" t="s">
        <v>0</v>
      </c>
      <c r="S4" s="30" t="s">
        <v>1</v>
      </c>
      <c r="T4" s="30" t="s">
        <v>2</v>
      </c>
      <c r="U4" s="30" t="s">
        <v>3</v>
      </c>
      <c r="V4" s="30" t="s">
        <v>4</v>
      </c>
      <c r="W4" s="30" t="s">
        <v>5</v>
      </c>
      <c r="X4" s="30" t="s">
        <v>6</v>
      </c>
      <c r="Y4" s="30" t="s">
        <v>7</v>
      </c>
      <c r="Z4" s="30" t="s">
        <v>8</v>
      </c>
      <c r="AA4" s="30" t="s">
        <v>9</v>
      </c>
      <c r="AB4" s="30" t="s">
        <v>10</v>
      </c>
      <c r="AC4" s="31" t="s">
        <v>11</v>
      </c>
    </row>
    <row r="5" spans="2:29" s="5" customFormat="1" ht="12.75" thickBot="1" x14ac:dyDescent="0.25">
      <c r="B5" s="33" t="s">
        <v>23</v>
      </c>
      <c r="C5" s="34">
        <f>FINPLAN_NEW!C5*'FINPLAN_NEW (neg)'!R5</f>
        <v>2448492.3035018835</v>
      </c>
      <c r="D5" s="34">
        <f>FINPLAN_NEW!D5*'FINPLAN_NEW (neg)'!S5</f>
        <v>1923028.0309515297</v>
      </c>
      <c r="E5" s="34">
        <f>FINPLAN_NEW!E5*'FINPLAN_NEW (neg)'!T5</f>
        <v>1941859.7720494433</v>
      </c>
      <c r="F5" s="34">
        <f>FINPLAN_NEW!F5*'FINPLAN_NEW (neg)'!U5</f>
        <v>2170238.3663729187</v>
      </c>
      <c r="G5" s="34">
        <f>FINPLAN_NEW!G5*'FINPLAN_NEW (neg)'!V5</f>
        <v>1630579.6958156833</v>
      </c>
      <c r="H5" s="34">
        <f>FINPLAN_NEW!H5*'FINPLAN_NEW (neg)'!W5</f>
        <v>1626366.4274931159</v>
      </c>
      <c r="I5" s="34">
        <f>FINPLAN_NEW!I5*'FINPLAN_NEW (neg)'!X5</f>
        <v>1818200.9925701711</v>
      </c>
      <c r="J5" s="34">
        <f>FINPLAN_NEW!J5*'FINPLAN_NEW (neg)'!Y5</f>
        <v>1990381.248348142</v>
      </c>
      <c r="K5" s="34">
        <f>FINPLAN_NEW!K5*'FINPLAN_NEW (neg)'!Z5</f>
        <v>1273870.1599222205</v>
      </c>
      <c r="L5" s="34">
        <f>FINPLAN_NEW!L5*'FINPLAN_NEW (neg)'!AA5</f>
        <v>1282345.6800973213</v>
      </c>
      <c r="M5" s="34">
        <f>FINPLAN_NEW!M5*'FINPLAN_NEW (neg)'!AB5</f>
        <v>1290906.1702318231</v>
      </c>
      <c r="N5" s="34">
        <f>FINPLAN_NEW!N5*'FINPLAN_NEW (neg)'!AC5</f>
        <v>1299552.5000000002</v>
      </c>
      <c r="O5" s="35">
        <f>SUM(C5:N5)</f>
        <v>20695821.347354256</v>
      </c>
      <c r="R5" s="214">
        <v>0.9</v>
      </c>
      <c r="S5" s="215">
        <v>0.7</v>
      </c>
      <c r="T5" s="215">
        <v>0.7</v>
      </c>
      <c r="U5" s="215">
        <v>0.7</v>
      </c>
      <c r="V5" s="215">
        <v>0.5</v>
      </c>
      <c r="W5" s="215">
        <v>0.5</v>
      </c>
      <c r="X5" s="215">
        <v>0.5</v>
      </c>
      <c r="Y5" s="215">
        <v>0.5</v>
      </c>
      <c r="Z5" s="215">
        <v>0.3</v>
      </c>
      <c r="AA5" s="215">
        <v>0.3</v>
      </c>
      <c r="AB5" s="215">
        <v>0.3</v>
      </c>
      <c r="AC5" s="216">
        <v>0.3</v>
      </c>
    </row>
    <row r="6" spans="2:29" ht="4.7" customHeight="1" x14ac:dyDescent="0.2"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3"/>
    </row>
    <row r="7" spans="2:29" x14ac:dyDescent="0.2">
      <c r="B7" s="36" t="s">
        <v>24</v>
      </c>
      <c r="C7" s="37">
        <f>C5*C8</f>
        <v>1049320.9966700259</v>
      </c>
      <c r="D7" s="37">
        <f t="shared" ref="D7:N7" si="0">D5*D8</f>
        <v>824385.43930172396</v>
      </c>
      <c r="E7" s="37">
        <f t="shared" si="0"/>
        <v>832717.59955754038</v>
      </c>
      <c r="F7" s="37">
        <f t="shared" si="0"/>
        <v>924016.37135093531</v>
      </c>
      <c r="G7" s="37">
        <f t="shared" si="0"/>
        <v>690094.49248073646</v>
      </c>
      <c r="H7" s="37">
        <f t="shared" si="0"/>
        <v>687577.33832402329</v>
      </c>
      <c r="I7" s="37">
        <f t="shared" si="0"/>
        <v>765791.77529448539</v>
      </c>
      <c r="J7" s="37">
        <f t="shared" si="0"/>
        <v>836053.45816887508</v>
      </c>
      <c r="K7" s="37">
        <f t="shared" si="0"/>
        <v>531002.2057280906</v>
      </c>
      <c r="L7" s="37">
        <f t="shared" si="0"/>
        <v>534760.8605034115</v>
      </c>
      <c r="M7" s="37">
        <f t="shared" si="0"/>
        <v>538558.44640716363</v>
      </c>
      <c r="N7" s="37">
        <f t="shared" si="0"/>
        <v>542395.37500000023</v>
      </c>
      <c r="O7" s="38">
        <f>SUM(C7:N7)</f>
        <v>8756674.3587870132</v>
      </c>
    </row>
    <row r="8" spans="2:29" x14ac:dyDescent="0.2">
      <c r="B8" s="167" t="s">
        <v>25</v>
      </c>
      <c r="C8" s="39">
        <v>0.42855801309616764</v>
      </c>
      <c r="D8" s="39">
        <v>0.42869132744456739</v>
      </c>
      <c r="E8" s="39">
        <v>0.42882478515875955</v>
      </c>
      <c r="F8" s="39">
        <v>0.42576722707894415</v>
      </c>
      <c r="G8" s="39">
        <v>0.42322033952196531</v>
      </c>
      <c r="H8" s="39">
        <v>0.42276901853160864</v>
      </c>
      <c r="I8" s="39">
        <v>0.42118103467316781</v>
      </c>
      <c r="J8" s="39">
        <v>0.42004689245476606</v>
      </c>
      <c r="K8" s="39">
        <v>0.41684170210919486</v>
      </c>
      <c r="L8" s="39">
        <v>0.41701771121717102</v>
      </c>
      <c r="M8" s="39">
        <v>0.41719410660997031</v>
      </c>
      <c r="N8" s="40">
        <v>0.41737088343872225</v>
      </c>
      <c r="O8" s="41">
        <f>O7/O5</f>
        <v>0.42311315950291883</v>
      </c>
    </row>
    <row r="9" spans="2:29" x14ac:dyDescent="0.2">
      <c r="B9" s="36" t="s">
        <v>26</v>
      </c>
      <c r="C9" s="37">
        <f>C10*C5</f>
        <v>97880.413365319444</v>
      </c>
      <c r="D9" s="37">
        <f t="shared" ref="D9:N9" si="1">D10*D5</f>
        <v>76862.621718652052</v>
      </c>
      <c r="E9" s="37">
        <f t="shared" si="1"/>
        <v>77603.255887484702</v>
      </c>
      <c r="F9" s="37">
        <f t="shared" si="1"/>
        <v>87560.123056769153</v>
      </c>
      <c r="G9" s="37">
        <f t="shared" si="1"/>
        <v>65749.944019273593</v>
      </c>
      <c r="H9" s="37">
        <f t="shared" si="1"/>
        <v>65561.190541915566</v>
      </c>
      <c r="I9" s="37">
        <f t="shared" si="1"/>
        <v>74115.656937077962</v>
      </c>
      <c r="J9" s="37">
        <f t="shared" si="1"/>
        <v>81784.810534534947</v>
      </c>
      <c r="K9" s="37">
        <f t="shared" si="1"/>
        <v>52250.597893925631</v>
      </c>
      <c r="L9" s="37">
        <f t="shared" si="1"/>
        <v>52583.561304802926</v>
      </c>
      <c r="M9" s="37">
        <f t="shared" si="1"/>
        <v>52919.809309329648</v>
      </c>
      <c r="N9" s="37">
        <f t="shared" si="1"/>
        <v>53259.375000000022</v>
      </c>
      <c r="O9" s="38">
        <f>SUM(C9:N9)</f>
        <v>838131.35956908565</v>
      </c>
    </row>
    <row r="10" spans="2:29" x14ac:dyDescent="0.2">
      <c r="B10" s="167" t="s">
        <v>27</v>
      </c>
      <c r="C10" s="39">
        <v>3.9975789683034287E-2</v>
      </c>
      <c r="D10" s="40">
        <v>3.9969579476498741E-2</v>
      </c>
      <c r="E10" s="40">
        <v>3.9963367594551921E-2</v>
      </c>
      <c r="F10" s="40">
        <v>4.0345855281835631E-2</v>
      </c>
      <c r="G10" s="40">
        <v>4.032304841523416E-2</v>
      </c>
      <c r="H10" s="40">
        <v>4.0311450995069852E-2</v>
      </c>
      <c r="I10" s="40">
        <v>4.0763181430403694E-2</v>
      </c>
      <c r="J10" s="40">
        <v>4.1090022628785229E-2</v>
      </c>
      <c r="K10" s="40">
        <v>4.1017208454836501E-2</v>
      </c>
      <c r="L10" s="40">
        <v>4.1005761645184623E-2</v>
      </c>
      <c r="M10" s="40">
        <v>4.0994311228542829E-2</v>
      </c>
      <c r="N10" s="40">
        <v>4.0982857560583362E-2</v>
      </c>
      <c r="O10" s="41">
        <f t="shared" ref="O10" si="2">O9/O5</f>
        <v>4.0497612803187054E-2</v>
      </c>
    </row>
    <row r="11" spans="2:29" x14ac:dyDescent="0.2">
      <c r="B11" s="42" t="s">
        <v>28</v>
      </c>
      <c r="C11" s="39">
        <f>(C5-C7-C9)/C5</f>
        <v>0.53146619722079813</v>
      </c>
      <c r="D11" s="39">
        <f t="shared" ref="D11:O11" si="3">(D5-D7-D9)/D5</f>
        <v>0.53133909307893379</v>
      </c>
      <c r="E11" s="39">
        <f t="shared" si="3"/>
        <v>0.53121184724668857</v>
      </c>
      <c r="F11" s="39">
        <f t="shared" si="3"/>
        <v>0.53388691763922025</v>
      </c>
      <c r="G11" s="39">
        <f t="shared" si="3"/>
        <v>0.53645661206280049</v>
      </c>
      <c r="H11" s="39">
        <f t="shared" si="3"/>
        <v>0.53691953047332142</v>
      </c>
      <c r="I11" s="39">
        <f t="shared" si="3"/>
        <v>0.53805578389642839</v>
      </c>
      <c r="J11" s="39">
        <f t="shared" si="3"/>
        <v>0.53886308491644874</v>
      </c>
      <c r="K11" s="39">
        <f t="shared" si="3"/>
        <v>0.54214108943596873</v>
      </c>
      <c r="L11" s="39">
        <f t="shared" si="3"/>
        <v>0.54197652713764444</v>
      </c>
      <c r="M11" s="39">
        <f t="shared" si="3"/>
        <v>0.54181158216148695</v>
      </c>
      <c r="N11" s="40">
        <f t="shared" si="3"/>
        <v>0.54164625900069441</v>
      </c>
      <c r="O11" s="41">
        <f t="shared" si="3"/>
        <v>0.53638922769389408</v>
      </c>
    </row>
    <row r="12" spans="2:29" s="11" customFormat="1" x14ac:dyDescent="0.2">
      <c r="B12" s="33" t="s">
        <v>73</v>
      </c>
      <c r="C12" s="34">
        <f>C5-C7-C9</f>
        <v>1301290.8934665383</v>
      </c>
      <c r="D12" s="34">
        <f t="shared" ref="D12:M12" si="4">D5-D7-D9</f>
        <v>1021779.9699311536</v>
      </c>
      <c r="E12" s="34">
        <f t="shared" si="4"/>
        <v>1031538.9166044183</v>
      </c>
      <c r="F12" s="34">
        <f t="shared" si="4"/>
        <v>1158661.8719652144</v>
      </c>
      <c r="G12" s="34">
        <f t="shared" si="4"/>
        <v>874735.25931567326</v>
      </c>
      <c r="H12" s="34">
        <f t="shared" si="4"/>
        <v>873227.898627177</v>
      </c>
      <c r="I12" s="34">
        <f t="shared" si="4"/>
        <v>978293.56033860764</v>
      </c>
      <c r="J12" s="34">
        <f>J5-J7-J9</f>
        <v>1072542.9796447321</v>
      </c>
      <c r="K12" s="34">
        <f t="shared" si="4"/>
        <v>690617.35630020429</v>
      </c>
      <c r="L12" s="34">
        <f t="shared" si="4"/>
        <v>695001.25828910689</v>
      </c>
      <c r="M12" s="34">
        <f t="shared" si="4"/>
        <v>699427.91451532987</v>
      </c>
      <c r="N12" s="34">
        <f>N5-N7-N9</f>
        <v>703897.75</v>
      </c>
      <c r="O12" s="35">
        <f>SUM(C12:N12)</f>
        <v>11101015.628998155</v>
      </c>
      <c r="P12" s="12"/>
    </row>
    <row r="13" spans="2:29" ht="6.6" customHeight="1" x14ac:dyDescent="0.2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3"/>
    </row>
    <row r="14" spans="2:29" s="5" customFormat="1" x14ac:dyDescent="0.2">
      <c r="B14" s="2" t="s">
        <v>29</v>
      </c>
      <c r="C14" s="7">
        <f>C5*7%</f>
        <v>171394.46124513185</v>
      </c>
      <c r="D14" s="7">
        <f t="shared" ref="D14:N14" si="5">D5*7%</f>
        <v>134611.96216660709</v>
      </c>
      <c r="E14" s="7">
        <f t="shared" si="5"/>
        <v>135930.18404346105</v>
      </c>
      <c r="F14" s="7">
        <f t="shared" si="5"/>
        <v>151916.68564610434</v>
      </c>
      <c r="G14" s="7">
        <f t="shared" si="5"/>
        <v>114140.57870709784</v>
      </c>
      <c r="H14" s="7">
        <f t="shared" si="5"/>
        <v>113845.64992451812</v>
      </c>
      <c r="I14" s="7">
        <f t="shared" si="5"/>
        <v>127274.069479912</v>
      </c>
      <c r="J14" s="7">
        <f t="shared" si="5"/>
        <v>139326.68738436996</v>
      </c>
      <c r="K14" s="7">
        <f t="shared" si="5"/>
        <v>89170.911194555447</v>
      </c>
      <c r="L14" s="7">
        <f t="shared" si="5"/>
        <v>89764.197606812493</v>
      </c>
      <c r="M14" s="7">
        <f t="shared" si="5"/>
        <v>90363.431916227622</v>
      </c>
      <c r="N14" s="7">
        <f t="shared" si="5"/>
        <v>90968.675000000032</v>
      </c>
      <c r="O14" s="4">
        <f>SUM(C14:N14)</f>
        <v>1448707.4943147977</v>
      </c>
    </row>
    <row r="15" spans="2:29" x14ac:dyDescent="0.2">
      <c r="B15" s="57" t="s">
        <v>30</v>
      </c>
      <c r="C15" s="7">
        <f>C14</f>
        <v>171394.46124513185</v>
      </c>
      <c r="D15" s="7">
        <f t="shared" ref="D15:N15" si="6">D14</f>
        <v>134611.96216660709</v>
      </c>
      <c r="E15" s="7">
        <f t="shared" si="6"/>
        <v>135930.18404346105</v>
      </c>
      <c r="F15" s="7">
        <f t="shared" si="6"/>
        <v>151916.68564610434</v>
      </c>
      <c r="G15" s="7">
        <f t="shared" si="6"/>
        <v>114140.57870709784</v>
      </c>
      <c r="H15" s="7">
        <f t="shared" si="6"/>
        <v>113845.64992451812</v>
      </c>
      <c r="I15" s="7">
        <f t="shared" si="6"/>
        <v>127274.069479912</v>
      </c>
      <c r="J15" s="7">
        <f t="shared" si="6"/>
        <v>139326.68738436996</v>
      </c>
      <c r="K15" s="7">
        <f t="shared" si="6"/>
        <v>89170.911194555447</v>
      </c>
      <c r="L15" s="7">
        <f t="shared" si="6"/>
        <v>89764.197606812493</v>
      </c>
      <c r="M15" s="7">
        <f t="shared" si="6"/>
        <v>90363.431916227622</v>
      </c>
      <c r="N15" s="7">
        <f t="shared" si="6"/>
        <v>90968.675000000032</v>
      </c>
      <c r="O15" s="171">
        <f>SUM(C15:N15)</f>
        <v>1448707.4943147977</v>
      </c>
      <c r="P15" s="17"/>
    </row>
    <row r="16" spans="2:29" ht="6.6" customHeight="1" x14ac:dyDescent="0.2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3"/>
    </row>
    <row r="17" spans="1:16" s="5" customFormat="1" x14ac:dyDescent="0.2">
      <c r="B17" s="43" t="s">
        <v>31</v>
      </c>
      <c r="C17" s="34">
        <f ca="1">SUM(C18:C19)</f>
        <v>542250</v>
      </c>
      <c r="D17" s="44">
        <f t="shared" ref="D17:N17" ca="1" si="7">SUM(D18:D19)</f>
        <v>392250</v>
      </c>
      <c r="E17" s="44">
        <f t="shared" ca="1" si="7"/>
        <v>392250</v>
      </c>
      <c r="F17" s="44">
        <f t="shared" ca="1" si="7"/>
        <v>392250</v>
      </c>
      <c r="G17" s="44">
        <f t="shared" ca="1" si="7"/>
        <v>572250</v>
      </c>
      <c r="H17" s="44">
        <f t="shared" ca="1" si="7"/>
        <v>572250</v>
      </c>
      <c r="I17" s="44">
        <f t="shared" ca="1" si="7"/>
        <v>572250</v>
      </c>
      <c r="J17" s="44">
        <f t="shared" ca="1" si="7"/>
        <v>572250</v>
      </c>
      <c r="K17" s="44">
        <f t="shared" ca="1" si="7"/>
        <v>597250</v>
      </c>
      <c r="L17" s="44">
        <f t="shared" ca="1" si="7"/>
        <v>597250</v>
      </c>
      <c r="M17" s="44">
        <f t="shared" ca="1" si="7"/>
        <v>597250</v>
      </c>
      <c r="N17" s="45">
        <f t="shared" ca="1" si="7"/>
        <v>572250</v>
      </c>
      <c r="O17" s="35">
        <f ca="1">SUM(C17:N17)</f>
        <v>6372000</v>
      </c>
    </row>
    <row r="18" spans="1:16" x14ac:dyDescent="0.2">
      <c r="B18" s="197" t="s">
        <v>13</v>
      </c>
      <c r="C18" s="198">
        <f>SUMIF(PEREX!$D$3:$D$33,PEREX!$D$29,PEREX!J3:J33)+Marketing!C13</f>
        <v>353250</v>
      </c>
      <c r="D18" s="198">
        <f>SUMIF(PEREX!$D$3:$D$33,PEREX!$D$29,PEREX!K3:K33)+Marketing!D13</f>
        <v>203250</v>
      </c>
      <c r="E18" s="198">
        <f>SUMIF(PEREX!$D$3:$D$33,PEREX!$D$29,PEREX!L3:L33)+Marketing!E13</f>
        <v>203250</v>
      </c>
      <c r="F18" s="198">
        <f>SUMIF(PEREX!$D$3:$D$33,PEREX!$D$29,PEREX!M3:M33)+Marketing!F13</f>
        <v>203250</v>
      </c>
      <c r="G18" s="198">
        <f>SUMIF(PEREX!$D$3:$D$33,PEREX!$D$29,PEREX!N3:N33)+Marketing!G13</f>
        <v>203250</v>
      </c>
      <c r="H18" s="198">
        <f>SUMIF(PEREX!$D$3:$D$33,PEREX!$D$29,PEREX!O3:O33)+Marketing!H13</f>
        <v>203250</v>
      </c>
      <c r="I18" s="198">
        <f>SUMIF(PEREX!$D$3:$D$33,PEREX!$D$29,PEREX!P3:P33)+Marketing!I13</f>
        <v>203250</v>
      </c>
      <c r="J18" s="198">
        <f>SUMIF(PEREX!$D$3:$D$33,PEREX!$D$29,PEREX!Q3:Q33)+Marketing!J13</f>
        <v>203250</v>
      </c>
      <c r="K18" s="198">
        <f>SUMIF(PEREX!$D$3:$D$33,PEREX!$D$29,PEREX!R3:R33)+Marketing!K13</f>
        <v>228250</v>
      </c>
      <c r="L18" s="198">
        <f>SUMIF(PEREX!$D$3:$D$33,PEREX!$D$29,PEREX!S3:S33)+Marketing!L13</f>
        <v>228250</v>
      </c>
      <c r="M18" s="198">
        <f>SUMIF(PEREX!$D$3:$D$33,PEREX!$D$29,PEREX!T3:T33)+Marketing!M13</f>
        <v>228250</v>
      </c>
      <c r="N18" s="198">
        <f>SUMIF(PEREX!$D$3:$D$33,PEREX!$D$29,PEREX!U3:U33)+Marketing!N13</f>
        <v>203250</v>
      </c>
      <c r="O18" s="199">
        <f t="shared" ref="O18" si="8">SUM(C18:N18)</f>
        <v>2664000</v>
      </c>
    </row>
    <row r="19" spans="1:16" x14ac:dyDescent="0.2">
      <c r="B19" s="197" t="s">
        <v>32</v>
      </c>
      <c r="C19" s="198">
        <f ca="1">PEREX!J41</f>
        <v>189000</v>
      </c>
      <c r="D19" s="198">
        <f ca="1">PEREX!K41</f>
        <v>189000</v>
      </c>
      <c r="E19" s="198">
        <f ca="1">PEREX!L41</f>
        <v>189000</v>
      </c>
      <c r="F19" s="198">
        <f ca="1">PEREX!M41</f>
        <v>189000</v>
      </c>
      <c r="G19" s="198">
        <f ca="1">PEREX!N41</f>
        <v>369000</v>
      </c>
      <c r="H19" s="198">
        <f ca="1">PEREX!O41</f>
        <v>369000</v>
      </c>
      <c r="I19" s="198">
        <f ca="1">PEREX!P41</f>
        <v>369000</v>
      </c>
      <c r="J19" s="198">
        <f ca="1">PEREX!Q41</f>
        <v>369000</v>
      </c>
      <c r="K19" s="198">
        <f ca="1">PEREX!R41</f>
        <v>369000</v>
      </c>
      <c r="L19" s="198">
        <f ca="1">PEREX!S41</f>
        <v>369000</v>
      </c>
      <c r="M19" s="198">
        <f ca="1">PEREX!T41</f>
        <v>369000</v>
      </c>
      <c r="N19" s="198">
        <f ca="1">PEREX!U41</f>
        <v>369000</v>
      </c>
      <c r="O19" s="199">
        <f ca="1">SUM(C19:N19)</f>
        <v>3708000</v>
      </c>
    </row>
    <row r="20" spans="1:16" s="11" customFormat="1" x14ac:dyDescent="0.2">
      <c r="B20" s="42" t="s">
        <v>33</v>
      </c>
      <c r="C20" s="39">
        <f ca="1">C17/C5</f>
        <v>0.22146281580075339</v>
      </c>
      <c r="D20" s="46">
        <f t="shared" ref="D20:O20" ca="1" si="9">D17/D5</f>
        <v>0.20397518584578903</v>
      </c>
      <c r="E20" s="46">
        <f t="shared" ca="1" si="9"/>
        <v>0.20199707808253242</v>
      </c>
      <c r="F20" s="46">
        <f t="shared" ca="1" si="9"/>
        <v>0.18074051499493143</v>
      </c>
      <c r="G20" s="46">
        <f t="shared" ca="1" si="9"/>
        <v>0.35094880763478226</v>
      </c>
      <c r="H20" s="46">
        <f t="shared" ca="1" si="9"/>
        <v>0.35185797636149385</v>
      </c>
      <c r="I20" s="46">
        <f t="shared" ca="1" si="9"/>
        <v>0.31473418084052374</v>
      </c>
      <c r="J20" s="46">
        <f t="shared" ca="1" si="9"/>
        <v>0.2875077327396055</v>
      </c>
      <c r="K20" s="46">
        <f t="shared" ca="1" si="9"/>
        <v>0.46884684074589411</v>
      </c>
      <c r="L20" s="46">
        <f t="shared" ca="1" si="9"/>
        <v>0.46574805005361175</v>
      </c>
      <c r="M20" s="46">
        <f t="shared" ca="1" si="9"/>
        <v>0.46265949746970753</v>
      </c>
      <c r="N20" s="47">
        <f t="shared" ca="1" si="9"/>
        <v>0.44034388760746479</v>
      </c>
      <c r="O20" s="48">
        <f t="shared" ca="1" si="9"/>
        <v>0.3078882395172296</v>
      </c>
    </row>
    <row r="21" spans="1:16" ht="6.6" customHeight="1" x14ac:dyDescent="0.2">
      <c r="B21" s="1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3"/>
    </row>
    <row r="22" spans="1:16" s="5" customFormat="1" x14ac:dyDescent="0.2">
      <c r="B22" s="18" t="s">
        <v>35</v>
      </c>
      <c r="C22" s="3">
        <f t="shared" ref="C22:N22" si="10">SUM(C23:C31)</f>
        <v>1023254.0033299741</v>
      </c>
      <c r="D22" s="19">
        <f t="shared" si="10"/>
        <v>1248189.5606982759</v>
      </c>
      <c r="E22" s="19">
        <f t="shared" si="10"/>
        <v>1239857.4004424596</v>
      </c>
      <c r="F22" s="19">
        <f t="shared" si="10"/>
        <v>1107558.6286490648</v>
      </c>
      <c r="G22" s="19">
        <f t="shared" si="10"/>
        <v>1546480.5075192635</v>
      </c>
      <c r="H22" s="19">
        <f t="shared" si="10"/>
        <v>1630641.4116759766</v>
      </c>
      <c r="I22" s="19">
        <f t="shared" si="10"/>
        <v>1706075.4122055145</v>
      </c>
      <c r="J22" s="19">
        <f t="shared" si="10"/>
        <v>1777019.588706125</v>
      </c>
      <c r="K22" s="19">
        <f t="shared" si="10"/>
        <v>2083336.9934906594</v>
      </c>
      <c r="L22" s="19">
        <f t="shared" si="10"/>
        <v>2140907.7986762761</v>
      </c>
      <c r="M22" s="19">
        <f t="shared" si="10"/>
        <v>2138506.1457315083</v>
      </c>
      <c r="N22" s="20">
        <f t="shared" si="10"/>
        <v>2136134.9467456052</v>
      </c>
      <c r="O22" s="4">
        <f>SUM(C22:N22)</f>
        <v>19777962.397870701</v>
      </c>
    </row>
    <row r="23" spans="1:16" x14ac:dyDescent="0.2">
      <c r="A23" s="21"/>
      <c r="B23" s="200" t="s">
        <v>82</v>
      </c>
      <c r="C23" s="201">
        <f>PEREX!J40+PEREX!J37-'FINPLAN_NEW (neg)'!C7</f>
        <v>709429.00332997413</v>
      </c>
      <c r="D23" s="201">
        <f>PEREX!K40+PEREX!K37-'FINPLAN_NEW (neg)'!D7</f>
        <v>934364.56069827604</v>
      </c>
      <c r="E23" s="201">
        <f>PEREX!L40+PEREX!L37-'FINPLAN_NEW (neg)'!E7</f>
        <v>926032.40044245962</v>
      </c>
      <c r="F23" s="201">
        <f>PEREX!M40+PEREX!M37-'FINPLAN_NEW (neg)'!F7</f>
        <v>793733.62864906469</v>
      </c>
      <c r="G23" s="201">
        <f>PEREX!N40+PEREX!N37-'FINPLAN_NEW (neg)'!G7</f>
        <v>1232655.5075192635</v>
      </c>
      <c r="H23" s="201">
        <f>PEREX!O40+PEREX!O37-'FINPLAN_NEW (neg)'!H7</f>
        <v>1235172.6616759766</v>
      </c>
      <c r="I23" s="201">
        <f>PEREX!P40+PEREX!P37-'FINPLAN_NEW (neg)'!I7</f>
        <v>1276958.2247055145</v>
      </c>
      <c r="J23" s="201">
        <f>PEREX!Q40+PEREX!Q37-'FINPLAN_NEW (neg)'!J7</f>
        <v>1346696.541831125</v>
      </c>
      <c r="K23" s="201">
        <f>PEREX!R40+PEREX!R37-'FINPLAN_NEW (neg)'!K7</f>
        <v>1651747.7942719094</v>
      </c>
      <c r="L23" s="201">
        <f>PEREX!S40+PEREX!S37-'FINPLAN_NEW (neg)'!L7</f>
        <v>1647989.1394965886</v>
      </c>
      <c r="M23" s="201">
        <f>PEREX!T40+PEREX!T37-'FINPLAN_NEW (neg)'!M7</f>
        <v>1644191.5535928365</v>
      </c>
      <c r="N23" s="201">
        <f>PEREX!U40+PEREX!U37-'FINPLAN_NEW (neg)'!N7</f>
        <v>1640354.6249999998</v>
      </c>
      <c r="O23" s="202">
        <f t="shared" ref="O23:O31" si="11">SUM(C23:N23)</f>
        <v>15039325.641212989</v>
      </c>
    </row>
    <row r="24" spans="1:16" x14ac:dyDescent="0.2">
      <c r="B24" s="6" t="s">
        <v>22</v>
      </c>
      <c r="C24" s="7">
        <v>35000</v>
      </c>
      <c r="D24" s="7">
        <v>35000</v>
      </c>
      <c r="E24" s="7">
        <v>35000</v>
      </c>
      <c r="F24" s="7">
        <v>35000</v>
      </c>
      <c r="G24" s="7">
        <v>35000</v>
      </c>
      <c r="H24" s="7">
        <v>35000</v>
      </c>
      <c r="I24" s="7">
        <v>60000</v>
      </c>
      <c r="J24" s="7">
        <v>60000</v>
      </c>
      <c r="K24" s="7">
        <v>60000</v>
      </c>
      <c r="L24" s="7">
        <v>60000</v>
      </c>
      <c r="M24" s="7">
        <v>60000</v>
      </c>
      <c r="N24" s="7">
        <v>60000</v>
      </c>
      <c r="O24" s="8">
        <f t="shared" si="11"/>
        <v>570000</v>
      </c>
      <c r="P24" s="17"/>
    </row>
    <row r="25" spans="1:16" x14ac:dyDescent="0.2">
      <c r="B25" s="6" t="s">
        <v>14</v>
      </c>
      <c r="C25" s="7">
        <v>40000</v>
      </c>
      <c r="D25" s="7">
        <v>40000</v>
      </c>
      <c r="E25" s="7">
        <v>40000</v>
      </c>
      <c r="F25" s="7">
        <v>40000</v>
      </c>
      <c r="G25" s="7">
        <v>40000</v>
      </c>
      <c r="H25" s="7">
        <v>40000</v>
      </c>
      <c r="I25" s="7">
        <v>40000</v>
      </c>
      <c r="J25" s="7">
        <v>40000</v>
      </c>
      <c r="K25" s="7">
        <v>40000</v>
      </c>
      <c r="L25" s="7">
        <v>40000</v>
      </c>
      <c r="M25" s="7">
        <v>40000</v>
      </c>
      <c r="N25" s="7">
        <v>40000</v>
      </c>
      <c r="O25" s="8">
        <f t="shared" si="11"/>
        <v>480000</v>
      </c>
      <c r="P25" s="17"/>
    </row>
    <row r="26" spans="1:16" x14ac:dyDescent="0.2">
      <c r="B26" s="6" t="s">
        <v>76</v>
      </c>
      <c r="C26" s="7">
        <f>PEREX!J43</f>
        <v>35700</v>
      </c>
      <c r="D26" s="7">
        <f>PEREX!K43</f>
        <v>35700</v>
      </c>
      <c r="E26" s="7">
        <f>PEREX!L43</f>
        <v>35700</v>
      </c>
      <c r="F26" s="7">
        <f>PEREX!M43</f>
        <v>35700</v>
      </c>
      <c r="G26" s="7">
        <f>PEREX!N43</f>
        <v>35700</v>
      </c>
      <c r="H26" s="7">
        <v>75000</v>
      </c>
      <c r="I26" s="7">
        <v>75000</v>
      </c>
      <c r="J26" s="7">
        <v>75000</v>
      </c>
      <c r="K26" s="7">
        <v>75000</v>
      </c>
      <c r="L26" s="7">
        <v>75000</v>
      </c>
      <c r="M26" s="7">
        <v>75000</v>
      </c>
      <c r="N26" s="7">
        <v>75000</v>
      </c>
      <c r="O26" s="8">
        <f t="shared" si="11"/>
        <v>703500</v>
      </c>
      <c r="P26" s="17"/>
    </row>
    <row r="27" spans="1:16" x14ac:dyDescent="0.2">
      <c r="B27" s="203" t="s">
        <v>15</v>
      </c>
      <c r="C27" s="204">
        <v>78750</v>
      </c>
      <c r="D27" s="204">
        <v>78750</v>
      </c>
      <c r="E27" s="204">
        <v>78750</v>
      </c>
      <c r="F27" s="204">
        <v>78750</v>
      </c>
      <c r="G27" s="204">
        <v>78750</v>
      </c>
      <c r="H27" s="204">
        <v>120000</v>
      </c>
      <c r="I27" s="204">
        <v>120000</v>
      </c>
      <c r="J27" s="204">
        <v>120000</v>
      </c>
      <c r="K27" s="204">
        <v>120000</v>
      </c>
      <c r="L27" s="204">
        <v>180000</v>
      </c>
      <c r="M27" s="204">
        <v>180000</v>
      </c>
      <c r="N27" s="204">
        <v>180000</v>
      </c>
      <c r="O27" s="205">
        <f t="shared" si="11"/>
        <v>1413750</v>
      </c>
      <c r="P27" s="17"/>
    </row>
    <row r="28" spans="1:16" x14ac:dyDescent="0.2">
      <c r="B28" s="6" t="s">
        <v>16</v>
      </c>
      <c r="C28" s="7">
        <v>17500</v>
      </c>
      <c r="D28" s="7">
        <v>17500</v>
      </c>
      <c r="E28" s="7">
        <v>17500</v>
      </c>
      <c r="F28" s="7">
        <v>17500</v>
      </c>
      <c r="G28" s="7">
        <v>17500</v>
      </c>
      <c r="H28" s="7">
        <v>17500</v>
      </c>
      <c r="I28" s="7">
        <v>25000</v>
      </c>
      <c r="J28" s="7">
        <v>25000</v>
      </c>
      <c r="K28" s="7">
        <v>25000</v>
      </c>
      <c r="L28" s="7">
        <v>25000</v>
      </c>
      <c r="M28" s="7">
        <v>25000</v>
      </c>
      <c r="N28" s="7">
        <v>25000</v>
      </c>
      <c r="O28" s="8">
        <f t="shared" si="11"/>
        <v>255000</v>
      </c>
      <c r="P28" s="17"/>
    </row>
    <row r="29" spans="1:16" x14ac:dyDescent="0.2">
      <c r="B29" s="6" t="s">
        <v>17</v>
      </c>
      <c r="C29" s="7">
        <v>21875</v>
      </c>
      <c r="D29" s="7">
        <v>21875</v>
      </c>
      <c r="E29" s="7">
        <v>21875</v>
      </c>
      <c r="F29" s="7">
        <v>21875</v>
      </c>
      <c r="G29" s="7">
        <v>21875</v>
      </c>
      <c r="H29" s="7">
        <f>G29*1.05</f>
        <v>22968.75</v>
      </c>
      <c r="I29" s="7">
        <f t="shared" ref="I29:N29" si="12">H29*1.05</f>
        <v>24117.1875</v>
      </c>
      <c r="J29" s="7">
        <f t="shared" si="12"/>
        <v>25323.046875</v>
      </c>
      <c r="K29" s="7">
        <f t="shared" si="12"/>
        <v>26589.19921875</v>
      </c>
      <c r="L29" s="7">
        <f t="shared" si="12"/>
        <v>27918.6591796875</v>
      </c>
      <c r="M29" s="7">
        <f t="shared" si="12"/>
        <v>29314.592138671876</v>
      </c>
      <c r="N29" s="7">
        <f t="shared" si="12"/>
        <v>30780.32174560547</v>
      </c>
      <c r="O29" s="8">
        <f t="shared" si="11"/>
        <v>296386.75665771484</v>
      </c>
      <c r="P29" s="17"/>
    </row>
    <row r="30" spans="1:16" x14ac:dyDescent="0.2">
      <c r="B30" s="197" t="s">
        <v>21</v>
      </c>
      <c r="C30" s="198">
        <v>45000</v>
      </c>
      <c r="D30" s="198">
        <v>45000</v>
      </c>
      <c r="E30" s="198">
        <v>45000</v>
      </c>
      <c r="F30" s="198">
        <v>45000</v>
      </c>
      <c r="G30" s="198">
        <v>45000</v>
      </c>
      <c r="H30" s="198">
        <v>45000</v>
      </c>
      <c r="I30" s="198">
        <v>45000</v>
      </c>
      <c r="J30" s="198">
        <v>45000</v>
      </c>
      <c r="K30" s="198">
        <v>45000</v>
      </c>
      <c r="L30" s="198">
        <v>45000</v>
      </c>
      <c r="M30" s="198">
        <v>45000</v>
      </c>
      <c r="N30" s="198">
        <v>45000</v>
      </c>
      <c r="O30" s="199">
        <f t="shared" si="11"/>
        <v>540000</v>
      </c>
      <c r="P30" s="17"/>
    </row>
    <row r="31" spans="1:16" x14ac:dyDescent="0.2">
      <c r="B31" s="203" t="s">
        <v>18</v>
      </c>
      <c r="C31" s="204">
        <v>40000</v>
      </c>
      <c r="D31" s="204">
        <v>40000</v>
      </c>
      <c r="E31" s="204">
        <v>40000</v>
      </c>
      <c r="F31" s="204">
        <v>40000</v>
      </c>
      <c r="G31" s="204">
        <v>40000</v>
      </c>
      <c r="H31" s="204">
        <v>40000</v>
      </c>
      <c r="I31" s="204">
        <v>40000</v>
      </c>
      <c r="J31" s="204">
        <v>40000</v>
      </c>
      <c r="K31" s="204">
        <v>40000</v>
      </c>
      <c r="L31" s="204">
        <v>40000</v>
      </c>
      <c r="M31" s="204">
        <v>40000</v>
      </c>
      <c r="N31" s="204">
        <v>40000</v>
      </c>
      <c r="O31" s="205">
        <f t="shared" si="11"/>
        <v>480000</v>
      </c>
      <c r="P31" s="17"/>
    </row>
    <row r="32" spans="1:16" x14ac:dyDescent="0.2">
      <c r="B32" s="10" t="s">
        <v>34</v>
      </c>
      <c r="C32" s="9">
        <f t="shared" ref="C32:O32" si="13">C22/C5</f>
        <v>0.41791187248842704</v>
      </c>
      <c r="D32" s="22">
        <f t="shared" si="13"/>
        <v>0.64907507358624494</v>
      </c>
      <c r="E32" s="22">
        <f t="shared" si="13"/>
        <v>0.63848966763130954</v>
      </c>
      <c r="F32" s="22">
        <f t="shared" si="13"/>
        <v>0.51033962250888976</v>
      </c>
      <c r="G32" s="22">
        <f t="shared" si="13"/>
        <v>0.94842374861392476</v>
      </c>
      <c r="H32" s="22">
        <f t="shared" si="13"/>
        <v>1.002628549206743</v>
      </c>
      <c r="I32" s="22">
        <f t="shared" si="13"/>
        <v>0.93833158114925552</v>
      </c>
      <c r="J32" s="22">
        <f t="shared" si="13"/>
        <v>0.8928036225124758</v>
      </c>
      <c r="K32" s="22">
        <f t="shared" si="13"/>
        <v>1.6354390416193303</v>
      </c>
      <c r="L32" s="22">
        <f t="shared" si="13"/>
        <v>1.669524709213974</v>
      </c>
      <c r="M32" s="22">
        <f t="shared" si="13"/>
        <v>1.6565930158560414</v>
      </c>
      <c r="N32" s="23">
        <f t="shared" si="13"/>
        <v>1.6437465564073823</v>
      </c>
      <c r="O32" s="24">
        <f t="shared" si="13"/>
        <v>0.9556500351409879</v>
      </c>
      <c r="P32" s="17"/>
    </row>
    <row r="33" spans="2:16" ht="8.1" customHeight="1" x14ac:dyDescent="0.2">
      <c r="B33" s="13"/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8"/>
      <c r="P33" s="17"/>
    </row>
    <row r="34" spans="2:16" s="5" customFormat="1" x14ac:dyDescent="0.2">
      <c r="B34" s="49" t="s">
        <v>19</v>
      </c>
      <c r="C34" s="50">
        <f t="shared" ref="C34:O34" ca="1" si="14">C5-C7-C9-C17-C22</f>
        <v>-264213.10986343585</v>
      </c>
      <c r="D34" s="50">
        <f t="shared" ca="1" si="14"/>
        <v>-618659.59076712234</v>
      </c>
      <c r="E34" s="50">
        <f t="shared" ca="1" si="14"/>
        <v>-600568.48383804131</v>
      </c>
      <c r="F34" s="50">
        <f t="shared" ca="1" si="14"/>
        <v>-341146.75668385043</v>
      </c>
      <c r="G34" s="50">
        <f t="shared" ca="1" si="14"/>
        <v>-1243995.2482035903</v>
      </c>
      <c r="H34" s="50">
        <f t="shared" ca="1" si="14"/>
        <v>-1329663.5130487997</v>
      </c>
      <c r="I34" s="50">
        <f t="shared" ca="1" si="14"/>
        <v>-1300031.851866907</v>
      </c>
      <c r="J34" s="50">
        <f t="shared" ca="1" si="14"/>
        <v>-1276726.609061393</v>
      </c>
      <c r="K34" s="50">
        <f t="shared" ca="1" si="14"/>
        <v>-1989969.6371904551</v>
      </c>
      <c r="L34" s="50">
        <f t="shared" ca="1" si="14"/>
        <v>-2043156.5403871692</v>
      </c>
      <c r="M34" s="50">
        <f t="shared" ca="1" si="14"/>
        <v>-2036328.2312161783</v>
      </c>
      <c r="N34" s="51">
        <f t="shared" ca="1" si="14"/>
        <v>-2004487.1967456052</v>
      </c>
      <c r="O34" s="52">
        <f t="shared" ca="1" si="14"/>
        <v>-15048946.768872544</v>
      </c>
    </row>
    <row r="35" spans="2:16" s="5" customFormat="1" ht="12.75" thickBot="1" x14ac:dyDescent="0.25">
      <c r="B35" s="58" t="s">
        <v>20</v>
      </c>
      <c r="C35" s="53">
        <f t="shared" ref="C35:O35" ca="1" si="15">C34/C5</f>
        <v>-0.10790849106838232</v>
      </c>
      <c r="D35" s="54">
        <f t="shared" ca="1" si="15"/>
        <v>-0.32171116635310021</v>
      </c>
      <c r="E35" s="54">
        <f t="shared" ca="1" si="15"/>
        <v>-0.30927489846715345</v>
      </c>
      <c r="F35" s="54">
        <f t="shared" ca="1" si="15"/>
        <v>-0.15719321986460086</v>
      </c>
      <c r="G35" s="54">
        <f t="shared" ca="1" si="15"/>
        <v>-0.76291594418590647</v>
      </c>
      <c r="H35" s="54">
        <f t="shared" ca="1" si="15"/>
        <v>-0.81756699509491559</v>
      </c>
      <c r="I35" s="54">
        <f t="shared" ca="1" si="15"/>
        <v>-0.71500997809335087</v>
      </c>
      <c r="J35" s="54">
        <f t="shared" ca="1" si="15"/>
        <v>-0.64144827033563268</v>
      </c>
      <c r="K35" s="54">
        <f t="shared" ca="1" si="15"/>
        <v>-1.5621447929292558</v>
      </c>
      <c r="L35" s="54">
        <f t="shared" ca="1" si="15"/>
        <v>-1.5932962321299415</v>
      </c>
      <c r="M35" s="54">
        <f t="shared" ca="1" si="15"/>
        <v>-1.5774409311642619</v>
      </c>
      <c r="N35" s="55">
        <f t="shared" ca="1" si="15"/>
        <v>-1.5424441850141528</v>
      </c>
      <c r="O35" s="56">
        <f t="shared" ca="1" si="15"/>
        <v>-0.72714904696432325</v>
      </c>
    </row>
  </sheetData>
  <mergeCells count="1">
    <mergeCell ref="B2:O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C2BA-3F5F-4641-A289-06EE72E11AEC}">
  <dimension ref="C2:H11"/>
  <sheetViews>
    <sheetView showGridLines="0" zoomScale="145" zoomScaleNormal="145" workbookViewId="0"/>
  </sheetViews>
  <sheetFormatPr defaultColWidth="8.7109375" defaultRowHeight="11.25" x14ac:dyDescent="0.2"/>
  <cols>
    <col min="1" max="2" width="8.7109375" style="134"/>
    <col min="3" max="3" width="26.140625" style="134" bestFit="1" customWidth="1"/>
    <col min="4" max="4" width="11.140625" style="134" customWidth="1"/>
    <col min="5" max="5" width="2.42578125" style="134" customWidth="1"/>
    <col min="6" max="6" width="10.140625" style="134" customWidth="1"/>
    <col min="7" max="16384" width="8.7109375" style="134"/>
  </cols>
  <sheetData>
    <row r="2" spans="3:8" ht="12" thickBot="1" x14ac:dyDescent="0.25"/>
    <row r="3" spans="3:8" x14ac:dyDescent="0.2">
      <c r="C3" s="172" t="s">
        <v>36</v>
      </c>
      <c r="D3" s="172" t="s">
        <v>102</v>
      </c>
      <c r="F3" s="172">
        <v>2025</v>
      </c>
    </row>
    <row r="4" spans="3:8" x14ac:dyDescent="0.2">
      <c r="C4" s="182" t="s">
        <v>23</v>
      </c>
      <c r="D4" s="209">
        <f>RESULTS_2022_2024!E5</f>
        <v>28500000</v>
      </c>
      <c r="F4" s="209">
        <f>FINPLAN_NEW!O5</f>
        <v>42628794.246574372</v>
      </c>
    </row>
    <row r="5" spans="3:8" x14ac:dyDescent="0.2">
      <c r="C5" s="182" t="s">
        <v>24</v>
      </c>
      <c r="D5" s="209">
        <f>RESULTS_2022_2024!E7</f>
        <v>12000000</v>
      </c>
      <c r="F5" s="209">
        <f>FINPLAN_NEW!O7</f>
        <v>17967982.749011476</v>
      </c>
      <c r="H5" s="181"/>
    </row>
    <row r="6" spans="3:8" x14ac:dyDescent="0.2">
      <c r="C6" s="182" t="s">
        <v>110</v>
      </c>
      <c r="D6" s="209">
        <v>13900</v>
      </c>
      <c r="F6" s="209">
        <f>'Capacity planning'!P5</f>
        <v>20297.334722163087</v>
      </c>
    </row>
    <row r="7" spans="3:8" x14ac:dyDescent="0.2">
      <c r="C7" s="182" t="s">
        <v>112</v>
      </c>
      <c r="D7" s="209">
        <f>D4/D6</f>
        <v>2050.3597122302158</v>
      </c>
      <c r="F7" s="209">
        <f>F4/F6</f>
        <v>2100.2163500820184</v>
      </c>
    </row>
    <row r="8" spans="3:8" x14ac:dyDescent="0.2">
      <c r="C8" s="182" t="s">
        <v>113</v>
      </c>
      <c r="D8" s="209">
        <f>RESULTS_2022_2024!E7/'Historical metrics'!D6</f>
        <v>863.30935251798564</v>
      </c>
      <c r="F8" s="209">
        <f>FINPLAN_NEW!O7/'Historical metrics'!F6</f>
        <v>885.23852983475001</v>
      </c>
    </row>
    <row r="9" spans="3:8" x14ac:dyDescent="0.2">
      <c r="C9" s="182" t="s">
        <v>114</v>
      </c>
      <c r="D9" s="210">
        <v>0.75</v>
      </c>
      <c r="F9" s="210">
        <f>'Capacity planning'!P6</f>
        <v>0.76833333333333342</v>
      </c>
    </row>
    <row r="10" spans="3:8" x14ac:dyDescent="0.2">
      <c r="C10" s="182" t="s">
        <v>115</v>
      </c>
      <c r="D10" s="209">
        <f>D6/D9</f>
        <v>18533.333333333332</v>
      </c>
      <c r="F10" s="209">
        <f>F6/F9</f>
        <v>26417.355386763233</v>
      </c>
    </row>
    <row r="11" spans="3:8" ht="12" thickBot="1" x14ac:dyDescent="0.25">
      <c r="C11" s="211" t="s">
        <v>116</v>
      </c>
      <c r="D11" s="212">
        <f>D10/168/12</f>
        <v>9.193121693121693</v>
      </c>
      <c r="F11" s="212">
        <f>F10/168/12</f>
        <v>13.103846918037318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0BCB-B77D-4BB6-A32E-293038C891C1}">
  <dimension ref="C1:P7"/>
  <sheetViews>
    <sheetView showGridLines="0" topLeftCell="B1" zoomScale="115" zoomScaleNormal="115" workbookViewId="0">
      <selection activeCell="B1" sqref="B1"/>
    </sheetView>
  </sheetViews>
  <sheetFormatPr defaultColWidth="8.7109375" defaultRowHeight="11.25" x14ac:dyDescent="0.2"/>
  <cols>
    <col min="1" max="2" width="8.7109375" style="134"/>
    <col min="3" max="3" width="21.42578125" style="134" bestFit="1" customWidth="1"/>
    <col min="4" max="15" width="8.7109375" style="134"/>
    <col min="16" max="16" width="8.7109375" style="180"/>
    <col min="17" max="16384" width="8.7109375" style="134"/>
  </cols>
  <sheetData>
    <row r="1" spans="3:16" ht="12" thickBot="1" x14ac:dyDescent="0.25"/>
    <row r="2" spans="3:16" x14ac:dyDescent="0.2">
      <c r="C2" s="172" t="s">
        <v>36</v>
      </c>
      <c r="D2" s="174" t="s">
        <v>0</v>
      </c>
      <c r="E2" s="175" t="s">
        <v>1</v>
      </c>
      <c r="F2" s="175" t="s">
        <v>2</v>
      </c>
      <c r="G2" s="175" t="s">
        <v>3</v>
      </c>
      <c r="H2" s="175" t="s">
        <v>4</v>
      </c>
      <c r="I2" s="175" t="s">
        <v>5</v>
      </c>
      <c r="J2" s="175" t="s">
        <v>6</v>
      </c>
      <c r="K2" s="175" t="s">
        <v>7</v>
      </c>
      <c r="L2" s="175" t="s">
        <v>8</v>
      </c>
      <c r="M2" s="175" t="s">
        <v>9</v>
      </c>
      <c r="N2" s="175" t="s">
        <v>10</v>
      </c>
      <c r="O2" s="176" t="s">
        <v>11</v>
      </c>
      <c r="P2" s="176" t="s">
        <v>122</v>
      </c>
    </row>
    <row r="3" spans="3:16" x14ac:dyDescent="0.2">
      <c r="C3" s="182" t="s">
        <v>23</v>
      </c>
      <c r="D3" s="206">
        <f>FINPLAN_NEW!C5</f>
        <v>2720547.0038909814</v>
      </c>
      <c r="E3" s="206">
        <f>FINPLAN_NEW!D5</f>
        <v>2747182.9013593285</v>
      </c>
      <c r="F3" s="206">
        <f>FINPLAN_NEW!E5</f>
        <v>2774085.388642062</v>
      </c>
      <c r="G3" s="206">
        <f>FINPLAN_NEW!F5</f>
        <v>3100340.5233898843</v>
      </c>
      <c r="H3" s="206">
        <f>FINPLAN_NEW!G5</f>
        <v>3261159.3916313667</v>
      </c>
      <c r="I3" s="206">
        <f>FINPLAN_NEW!H5</f>
        <v>3252732.8549862318</v>
      </c>
      <c r="J3" s="206">
        <f>FINPLAN_NEW!I5</f>
        <v>3636401.9851403423</v>
      </c>
      <c r="K3" s="206">
        <f>FINPLAN_NEW!J5</f>
        <v>3980762.496696284</v>
      </c>
      <c r="L3" s="206">
        <f>FINPLAN_NEW!K5</f>
        <v>4246233.8664074019</v>
      </c>
      <c r="M3" s="206">
        <f>FINPLAN_NEW!L5</f>
        <v>4274485.6003244044</v>
      </c>
      <c r="N3" s="206">
        <f>FINPLAN_NEW!M5</f>
        <v>4303020.5674394108</v>
      </c>
      <c r="O3" s="206">
        <f>FINPLAN_NEW!N5</f>
        <v>4331841.6666666679</v>
      </c>
      <c r="P3" s="183">
        <f>SUM(D3:O3)</f>
        <v>42628794.246574372</v>
      </c>
    </row>
    <row r="4" spans="3:16" x14ac:dyDescent="0.2">
      <c r="C4" s="182" t="s">
        <v>118</v>
      </c>
      <c r="D4" s="206">
        <v>2010</v>
      </c>
      <c r="E4" s="206">
        <v>2010</v>
      </c>
      <c r="F4" s="206">
        <v>2050</v>
      </c>
      <c r="G4" s="206">
        <v>2050</v>
      </c>
      <c r="H4" s="206">
        <v>2100</v>
      </c>
      <c r="I4" s="206">
        <v>2100</v>
      </c>
      <c r="J4" s="206">
        <v>2100</v>
      </c>
      <c r="K4" s="206">
        <v>2100</v>
      </c>
      <c r="L4" s="206">
        <v>2100</v>
      </c>
      <c r="M4" s="206">
        <v>2100</v>
      </c>
      <c r="N4" s="206">
        <v>2200</v>
      </c>
      <c r="O4" s="206">
        <v>2200</v>
      </c>
      <c r="P4" s="183">
        <f>AVERAGE(D4:O4)</f>
        <v>2093.3333333333335</v>
      </c>
    </row>
    <row r="5" spans="3:16" x14ac:dyDescent="0.2">
      <c r="C5" s="182" t="s">
        <v>110</v>
      </c>
      <c r="D5" s="206">
        <f>D3/D4</f>
        <v>1353.5059720850654</v>
      </c>
      <c r="E5" s="206">
        <f t="shared" ref="E5:O5" si="0">E3/E4</f>
        <v>1366.7576623678251</v>
      </c>
      <c r="F5" s="206">
        <f t="shared" si="0"/>
        <v>1353.212384703445</v>
      </c>
      <c r="G5" s="206">
        <f t="shared" si="0"/>
        <v>1512.3612309218947</v>
      </c>
      <c r="H5" s="206">
        <f t="shared" si="0"/>
        <v>1552.9330436339842</v>
      </c>
      <c r="I5" s="206">
        <f t="shared" si="0"/>
        <v>1548.9204071363008</v>
      </c>
      <c r="J5" s="206">
        <f t="shared" si="0"/>
        <v>1731.6199929239724</v>
      </c>
      <c r="K5" s="206">
        <f t="shared" si="0"/>
        <v>1895.6011889029924</v>
      </c>
      <c r="L5" s="206">
        <f t="shared" si="0"/>
        <v>2022.0161268606676</v>
      </c>
      <c r="M5" s="206">
        <f t="shared" si="0"/>
        <v>2035.4693334878116</v>
      </c>
      <c r="N5" s="206">
        <f t="shared" si="0"/>
        <v>1955.9184397451868</v>
      </c>
      <c r="O5" s="206">
        <f t="shared" si="0"/>
        <v>1969.0189393939399</v>
      </c>
      <c r="P5" s="183">
        <f t="shared" ref="P5" si="1">SUM(D5:O5)</f>
        <v>20297.334722163087</v>
      </c>
    </row>
    <row r="6" spans="3:16" x14ac:dyDescent="0.2">
      <c r="C6" s="182" t="s">
        <v>111</v>
      </c>
      <c r="D6" s="207">
        <v>0.75</v>
      </c>
      <c r="E6" s="207">
        <v>0.75</v>
      </c>
      <c r="F6" s="207">
        <v>0.75</v>
      </c>
      <c r="G6" s="207">
        <v>0.75</v>
      </c>
      <c r="H6" s="207">
        <v>0.77</v>
      </c>
      <c r="I6" s="207">
        <v>0.77</v>
      </c>
      <c r="J6" s="207">
        <v>0.77</v>
      </c>
      <c r="K6" s="207">
        <v>0.77</v>
      </c>
      <c r="L6" s="207">
        <v>0.77</v>
      </c>
      <c r="M6" s="207">
        <v>0.77</v>
      </c>
      <c r="N6" s="207">
        <v>0.8</v>
      </c>
      <c r="O6" s="207">
        <v>0.8</v>
      </c>
      <c r="P6" s="184">
        <f>AVERAGE(D6:O6)</f>
        <v>0.76833333333333342</v>
      </c>
    </row>
    <row r="7" spans="3:16" x14ac:dyDescent="0.2">
      <c r="C7" s="182" t="s">
        <v>119</v>
      </c>
      <c r="D7" s="208">
        <f>D5/(168*D6)</f>
        <v>10.742110889564012</v>
      </c>
      <c r="E7" s="208">
        <f t="shared" ref="E7:O7" si="2">E5/(168*E6)</f>
        <v>10.847283034665278</v>
      </c>
      <c r="F7" s="208">
        <f t="shared" si="2"/>
        <v>10.739780830979722</v>
      </c>
      <c r="G7" s="208">
        <f t="shared" si="2"/>
        <v>12.002866912078529</v>
      </c>
      <c r="H7" s="208">
        <f t="shared" si="2"/>
        <v>12.004739050973903</v>
      </c>
      <c r="I7" s="208">
        <f t="shared" si="2"/>
        <v>11.973719906743202</v>
      </c>
      <c r="J7" s="208">
        <f t="shared" si="2"/>
        <v>13.38605436706843</v>
      </c>
      <c r="K7" s="208">
        <f t="shared" si="2"/>
        <v>14.653688844333582</v>
      </c>
      <c r="L7" s="208">
        <f t="shared" si="2"/>
        <v>15.630922440172135</v>
      </c>
      <c r="M7" s="208">
        <f t="shared" si="2"/>
        <v>15.734920636114806</v>
      </c>
      <c r="N7" s="208">
        <f t="shared" si="2"/>
        <v>14.552964581437401</v>
      </c>
      <c r="O7" s="208">
        <f t="shared" si="2"/>
        <v>14.65043853715729</v>
      </c>
      <c r="P7" s="183">
        <f>AVERAGE(D7:O7)</f>
        <v>13.076624169274025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5212-62CE-4F82-9BA0-3A547CFB9D8A}">
  <sheetPr>
    <tabColor theme="1"/>
  </sheetPr>
  <dimension ref="A1:BF37"/>
  <sheetViews>
    <sheetView showGridLines="0" zoomScale="80" zoomScaleNormal="80" workbookViewId="0">
      <pane xSplit="2" ySplit="2" topLeftCell="C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5" x14ac:dyDescent="0.25"/>
  <cols>
    <col min="1" max="1" width="2.28515625" style="74" customWidth="1"/>
    <col min="2" max="2" width="23.5703125" style="74" customWidth="1"/>
    <col min="3" max="3" width="12.140625" style="74" customWidth="1"/>
    <col min="4" max="5" width="11.42578125" style="74" customWidth="1"/>
    <col min="6" max="8" width="9.140625" style="74"/>
    <col min="9" max="17" width="9.5703125" style="74" bestFit="1" customWidth="1"/>
    <col min="18" max="18" width="10.140625" style="74" bestFit="1" customWidth="1"/>
    <col min="19" max="19" width="9.5703125" style="85" bestFit="1" customWidth="1"/>
    <col min="20" max="21" width="9.140625" style="74"/>
    <col min="22" max="22" width="10.5703125" style="74" bestFit="1" customWidth="1"/>
    <col min="23" max="57" width="9.140625" style="74"/>
    <col min="58" max="58" width="9.140625" style="86"/>
    <col min="59" max="16384" width="9.140625" style="74"/>
  </cols>
  <sheetData>
    <row r="1" spans="2:58" s="64" customFormat="1" ht="19.149999999999999" customHeight="1" x14ac:dyDescent="0.25">
      <c r="B1" s="103" t="s">
        <v>23</v>
      </c>
      <c r="C1" s="223" t="s">
        <v>57</v>
      </c>
      <c r="D1" s="224"/>
      <c r="E1" s="225"/>
      <c r="F1" s="109"/>
      <c r="G1" s="110"/>
      <c r="H1" s="110"/>
      <c r="I1" s="110"/>
      <c r="J1" s="110"/>
      <c r="K1" s="110"/>
      <c r="L1" s="110" t="s">
        <v>70</v>
      </c>
      <c r="M1" s="110"/>
      <c r="N1" s="110"/>
      <c r="O1" s="110"/>
      <c r="P1" s="110"/>
      <c r="Q1" s="110"/>
      <c r="R1" s="111"/>
      <c r="S1" s="120" t="s">
        <v>71</v>
      </c>
      <c r="T1" s="223" t="s">
        <v>28</v>
      </c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5"/>
      <c r="AF1" s="223" t="s">
        <v>73</v>
      </c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87"/>
      <c r="AS1" s="223" t="s">
        <v>74</v>
      </c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5"/>
      <c r="BF1" s="63"/>
    </row>
    <row r="2" spans="2:58" s="68" customFormat="1" ht="33.6" customHeight="1" thickBot="1" x14ac:dyDescent="0.35">
      <c r="B2" s="104" t="s">
        <v>72</v>
      </c>
      <c r="C2" s="88" t="s">
        <v>140</v>
      </c>
      <c r="D2" s="66" t="s">
        <v>38</v>
      </c>
      <c r="E2" s="89" t="s">
        <v>39</v>
      </c>
      <c r="F2" s="88" t="s">
        <v>40</v>
      </c>
      <c r="G2" s="65" t="s">
        <v>41</v>
      </c>
      <c r="H2" s="65" t="s">
        <v>42</v>
      </c>
      <c r="I2" s="65" t="s">
        <v>43</v>
      </c>
      <c r="J2" s="65" t="s">
        <v>44</v>
      </c>
      <c r="K2" s="65" t="s">
        <v>45</v>
      </c>
      <c r="L2" s="65" t="s">
        <v>46</v>
      </c>
      <c r="M2" s="65" t="s">
        <v>47</v>
      </c>
      <c r="N2" s="65" t="s">
        <v>48</v>
      </c>
      <c r="O2" s="65" t="s">
        <v>49</v>
      </c>
      <c r="P2" s="65" t="s">
        <v>50</v>
      </c>
      <c r="Q2" s="65" t="s">
        <v>51</v>
      </c>
      <c r="R2" s="89" t="s">
        <v>52</v>
      </c>
      <c r="S2" s="104" t="s">
        <v>53</v>
      </c>
      <c r="T2" s="88" t="s">
        <v>40</v>
      </c>
      <c r="U2" s="65" t="s">
        <v>41</v>
      </c>
      <c r="V2" s="65" t="s">
        <v>42</v>
      </c>
      <c r="W2" s="65" t="s">
        <v>43</v>
      </c>
      <c r="X2" s="65" t="s">
        <v>44</v>
      </c>
      <c r="Y2" s="65" t="s">
        <v>45</v>
      </c>
      <c r="Z2" s="65" t="s">
        <v>46</v>
      </c>
      <c r="AA2" s="65" t="s">
        <v>47</v>
      </c>
      <c r="AB2" s="65" t="s">
        <v>48</v>
      </c>
      <c r="AC2" s="65" t="s">
        <v>49</v>
      </c>
      <c r="AD2" s="65" t="s">
        <v>50</v>
      </c>
      <c r="AE2" s="89" t="s">
        <v>51</v>
      </c>
      <c r="AF2" s="88" t="s">
        <v>40</v>
      </c>
      <c r="AG2" s="65" t="s">
        <v>41</v>
      </c>
      <c r="AH2" s="65" t="s">
        <v>42</v>
      </c>
      <c r="AI2" s="65" t="s">
        <v>43</v>
      </c>
      <c r="AJ2" s="65" t="s">
        <v>44</v>
      </c>
      <c r="AK2" s="65" t="s">
        <v>45</v>
      </c>
      <c r="AL2" s="65" t="s">
        <v>46</v>
      </c>
      <c r="AM2" s="65" t="s">
        <v>47</v>
      </c>
      <c r="AN2" s="65" t="s">
        <v>48</v>
      </c>
      <c r="AO2" s="65" t="s">
        <v>49</v>
      </c>
      <c r="AP2" s="65" t="s">
        <v>50</v>
      </c>
      <c r="AQ2" s="65" t="s">
        <v>51</v>
      </c>
      <c r="AR2" s="89" t="s">
        <v>52</v>
      </c>
      <c r="AS2" s="88" t="s">
        <v>40</v>
      </c>
      <c r="AT2" s="65" t="s">
        <v>41</v>
      </c>
      <c r="AU2" s="65" t="s">
        <v>42</v>
      </c>
      <c r="AV2" s="65" t="s">
        <v>43</v>
      </c>
      <c r="AW2" s="65" t="s">
        <v>44</v>
      </c>
      <c r="AX2" s="65" t="s">
        <v>45</v>
      </c>
      <c r="AY2" s="65" t="s">
        <v>46</v>
      </c>
      <c r="AZ2" s="65" t="s">
        <v>47</v>
      </c>
      <c r="BA2" s="65" t="s">
        <v>48</v>
      </c>
      <c r="BB2" s="65" t="s">
        <v>49</v>
      </c>
      <c r="BC2" s="65" t="s">
        <v>50</v>
      </c>
      <c r="BD2" s="65" t="s">
        <v>51</v>
      </c>
      <c r="BE2" s="89" t="s">
        <v>52</v>
      </c>
      <c r="BF2" s="67" t="s">
        <v>54</v>
      </c>
    </row>
    <row r="3" spans="2:58" s="69" customFormat="1" x14ac:dyDescent="0.25">
      <c r="B3" s="105" t="s">
        <v>23</v>
      </c>
      <c r="C3" s="90"/>
      <c r="D3" s="91"/>
      <c r="E3" s="92"/>
      <c r="F3" s="112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  <c r="S3" s="121"/>
      <c r="T3" s="90"/>
      <c r="U3" s="91"/>
      <c r="V3" s="91"/>
      <c r="W3" s="91"/>
      <c r="X3" s="91"/>
      <c r="Y3" s="91"/>
      <c r="Z3" s="91"/>
      <c r="AA3" s="91"/>
      <c r="AB3" s="91"/>
      <c r="AC3" s="91"/>
      <c r="AD3" s="91"/>
      <c r="AE3" s="92"/>
      <c r="AF3" s="112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2"/>
      <c r="AS3" s="112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2"/>
      <c r="BF3" s="70"/>
    </row>
    <row r="4" spans="2:58" x14ac:dyDescent="0.25">
      <c r="B4" s="106" t="s">
        <v>58</v>
      </c>
      <c r="C4" s="93">
        <v>7500000</v>
      </c>
      <c r="D4" s="71">
        <f>C4/12</f>
        <v>625000</v>
      </c>
      <c r="E4" s="94">
        <v>0.1</v>
      </c>
      <c r="F4" s="113">
        <f>+D4*(1+S4)</f>
        <v>629983.83776806481</v>
      </c>
      <c r="G4" s="114">
        <f>+F4*(1+$S$4)</f>
        <v>635007.41735836712</v>
      </c>
      <c r="H4" s="114">
        <f t="shared" ref="H4:Q4" si="0">+G4*(1+$S$4)</f>
        <v>640071.0556777782</v>
      </c>
      <c r="I4" s="114">
        <f t="shared" si="0"/>
        <v>645175.07216022944</v>
      </c>
      <c r="J4" s="114">
        <f t="shared" si="0"/>
        <v>650319.78878686321</v>
      </c>
      <c r="K4" s="114">
        <f t="shared" si="0"/>
        <v>655505.53010634473</v>
      </c>
      <c r="L4" s="114">
        <f t="shared" si="0"/>
        <v>660732.62325533573</v>
      </c>
      <c r="M4" s="114">
        <f t="shared" si="0"/>
        <v>666001.39797913178</v>
      </c>
      <c r="N4" s="114">
        <f t="shared" si="0"/>
        <v>671312.18665246363</v>
      </c>
      <c r="O4" s="114">
        <f t="shared" si="0"/>
        <v>676665.32430046482</v>
      </c>
      <c r="P4" s="114">
        <f t="shared" si="0"/>
        <v>682061.14861980639</v>
      </c>
      <c r="Q4" s="114">
        <f t="shared" si="0"/>
        <v>687500.00000000012</v>
      </c>
      <c r="R4" s="115">
        <f t="shared" ref="R4:R14" si="1">SUM(F4:Q4)</f>
        <v>7900335.3826648509</v>
      </c>
      <c r="S4" s="122">
        <f>+(1 + E4)^(1/12) - 1</f>
        <v>7.9741404289037643E-3</v>
      </c>
      <c r="T4" s="126">
        <v>0.6</v>
      </c>
      <c r="U4" s="72">
        <v>0.6</v>
      </c>
      <c r="V4" s="72">
        <v>0.6</v>
      </c>
      <c r="W4" s="72">
        <v>0.6</v>
      </c>
      <c r="X4" s="72">
        <v>0.6</v>
      </c>
      <c r="Y4" s="72">
        <v>0.6</v>
      </c>
      <c r="Z4" s="72">
        <v>0.6</v>
      </c>
      <c r="AA4" s="72">
        <v>0.6</v>
      </c>
      <c r="AB4" s="72">
        <v>0.6</v>
      </c>
      <c r="AC4" s="72">
        <v>0.6</v>
      </c>
      <c r="AD4" s="72">
        <v>0.6</v>
      </c>
      <c r="AE4" s="127">
        <v>0.6</v>
      </c>
      <c r="AF4" s="113">
        <f>+F4*T4</f>
        <v>377990.30266083888</v>
      </c>
      <c r="AG4" s="114">
        <f t="shared" ref="AG4:AQ14" si="2">+G4*U4</f>
        <v>381004.45041502028</v>
      </c>
      <c r="AH4" s="114">
        <f t="shared" si="2"/>
        <v>384042.63340666692</v>
      </c>
      <c r="AI4" s="114">
        <f t="shared" si="2"/>
        <v>387105.04329613765</v>
      </c>
      <c r="AJ4" s="114">
        <f t="shared" si="2"/>
        <v>390191.87327211793</v>
      </c>
      <c r="AK4" s="114">
        <f t="shared" si="2"/>
        <v>393303.3180638068</v>
      </c>
      <c r="AL4" s="114">
        <f t="shared" si="2"/>
        <v>396439.57395320141</v>
      </c>
      <c r="AM4" s="114">
        <f t="shared" si="2"/>
        <v>399600.83878747904</v>
      </c>
      <c r="AN4" s="114">
        <f t="shared" si="2"/>
        <v>402787.31199147814</v>
      </c>
      <c r="AO4" s="114">
        <f t="shared" si="2"/>
        <v>405999.19458027888</v>
      </c>
      <c r="AP4" s="114">
        <f t="shared" si="2"/>
        <v>409236.6891718838</v>
      </c>
      <c r="AQ4" s="114">
        <f>+Q4*AE4</f>
        <v>412500.00000000006</v>
      </c>
      <c r="AR4" s="115">
        <f t="shared" ref="AR4:AR14" si="3">SUM(AF4:AQ4)</f>
        <v>4740201.2295989096</v>
      </c>
      <c r="AS4" s="113">
        <f>+F4-AF4</f>
        <v>251993.53510722594</v>
      </c>
      <c r="AT4" s="114">
        <f t="shared" ref="AT4:BD14" si="4">+G4-AG4</f>
        <v>254002.96694334684</v>
      </c>
      <c r="AU4" s="114">
        <f t="shared" si="4"/>
        <v>256028.42227111128</v>
      </c>
      <c r="AV4" s="114">
        <f t="shared" si="4"/>
        <v>258070.02886409179</v>
      </c>
      <c r="AW4" s="114">
        <f t="shared" si="4"/>
        <v>260127.91551474528</v>
      </c>
      <c r="AX4" s="114">
        <f t="shared" si="4"/>
        <v>262202.21204253793</v>
      </c>
      <c r="AY4" s="114">
        <f t="shared" si="4"/>
        <v>264293.04930213431</v>
      </c>
      <c r="AZ4" s="114">
        <f t="shared" si="4"/>
        <v>266400.55919165275</v>
      </c>
      <c r="BA4" s="114">
        <f t="shared" si="4"/>
        <v>268524.87466098549</v>
      </c>
      <c r="BB4" s="114">
        <f t="shared" si="4"/>
        <v>270666.12972018594</v>
      </c>
      <c r="BC4" s="114">
        <f t="shared" si="4"/>
        <v>272824.45944792259</v>
      </c>
      <c r="BD4" s="114">
        <f>+Q4-AQ4</f>
        <v>275000.00000000006</v>
      </c>
      <c r="BE4" s="115">
        <f t="shared" ref="BE4:BE14" si="5">SUM(AS4:BD4)</f>
        <v>3160134.1530659399</v>
      </c>
      <c r="BF4" s="73"/>
    </row>
    <row r="5" spans="2:58" x14ac:dyDescent="0.25">
      <c r="B5" s="106" t="s">
        <v>59</v>
      </c>
      <c r="C5" s="93">
        <v>6000000</v>
      </c>
      <c r="D5" s="71">
        <f t="shared" ref="D5:D14" si="6">C5/12</f>
        <v>500000</v>
      </c>
      <c r="E5" s="94">
        <v>0.13</v>
      </c>
      <c r="F5" s="113">
        <f t="shared" ref="F5:F14" si="7">+D5*(1+S5)</f>
        <v>505118.42217908817</v>
      </c>
      <c r="G5" s="114">
        <f t="shared" ref="G5:Q5" si="8">+F5*(1+$S$5)</f>
        <v>510289.24084938312</v>
      </c>
      <c r="H5" s="114">
        <f t="shared" si="8"/>
        <v>515512.99238561024</v>
      </c>
      <c r="I5" s="114">
        <f t="shared" si="8"/>
        <v>520790.21865327953</v>
      </c>
      <c r="J5" s="114">
        <f t="shared" si="8"/>
        <v>526121.4670648938</v>
      </c>
      <c r="K5" s="114">
        <f t="shared" si="8"/>
        <v>531507.29063673259</v>
      </c>
      <c r="L5" s="114">
        <f t="shared" si="8"/>
        <v>536948.2480462169</v>
      </c>
      <c r="M5" s="114">
        <f t="shared" si="8"/>
        <v>542444.90368986153</v>
      </c>
      <c r="N5" s="114">
        <f t="shared" si="8"/>
        <v>547997.8277418206</v>
      </c>
      <c r="O5" s="114">
        <f t="shared" si="8"/>
        <v>553607.59621303238</v>
      </c>
      <c r="P5" s="114">
        <f t="shared" si="8"/>
        <v>559274.79101096932</v>
      </c>
      <c r="Q5" s="114">
        <f t="shared" si="8"/>
        <v>565000.00000000023</v>
      </c>
      <c r="R5" s="115">
        <f t="shared" si="1"/>
        <v>6414612.9984708885</v>
      </c>
      <c r="S5" s="122">
        <f t="shared" ref="S5:S14" si="9">+(1 + E5)^(1/12) - 1</f>
        <v>1.02368443581764E-2</v>
      </c>
      <c r="T5" s="126">
        <v>0.6</v>
      </c>
      <c r="U5" s="72">
        <v>0.6</v>
      </c>
      <c r="V5" s="72">
        <v>0.6</v>
      </c>
      <c r="W5" s="72">
        <v>0.6</v>
      </c>
      <c r="X5" s="72">
        <v>0.6</v>
      </c>
      <c r="Y5" s="72">
        <v>0.6</v>
      </c>
      <c r="Z5" s="72">
        <v>0.6</v>
      </c>
      <c r="AA5" s="72">
        <v>0.6</v>
      </c>
      <c r="AB5" s="72">
        <v>0.6</v>
      </c>
      <c r="AC5" s="72">
        <v>0.6</v>
      </c>
      <c r="AD5" s="72">
        <v>0.6</v>
      </c>
      <c r="AE5" s="127">
        <v>0.6</v>
      </c>
      <c r="AF5" s="113">
        <f t="shared" ref="AF5:AF14" si="10">+F5*T5</f>
        <v>303071.05330745288</v>
      </c>
      <c r="AG5" s="114">
        <f t="shared" si="2"/>
        <v>306173.54450962984</v>
      </c>
      <c r="AH5" s="114">
        <f t="shared" si="2"/>
        <v>309307.79543136613</v>
      </c>
      <c r="AI5" s="114">
        <f t="shared" si="2"/>
        <v>312474.1311919677</v>
      </c>
      <c r="AJ5" s="114">
        <f t="shared" si="2"/>
        <v>315672.88023893628</v>
      </c>
      <c r="AK5" s="114">
        <f t="shared" si="2"/>
        <v>318904.37438203953</v>
      </c>
      <c r="AL5" s="114">
        <f t="shared" si="2"/>
        <v>322168.94882773014</v>
      </c>
      <c r="AM5" s="114">
        <f t="shared" si="2"/>
        <v>325466.94221391692</v>
      </c>
      <c r="AN5" s="114">
        <f t="shared" si="2"/>
        <v>328798.69664509234</v>
      </c>
      <c r="AO5" s="114">
        <f t="shared" si="2"/>
        <v>332164.55772781943</v>
      </c>
      <c r="AP5" s="114">
        <f t="shared" si="2"/>
        <v>335564.87460658158</v>
      </c>
      <c r="AQ5" s="114">
        <f t="shared" si="2"/>
        <v>339000.00000000012</v>
      </c>
      <c r="AR5" s="115">
        <f t="shared" si="3"/>
        <v>3848767.7990825325</v>
      </c>
      <c r="AS5" s="113">
        <f t="shared" ref="AS5:AS14" si="11">+F5-AF5</f>
        <v>202047.36887163529</v>
      </c>
      <c r="AT5" s="114">
        <f t="shared" si="4"/>
        <v>204115.69633975328</v>
      </c>
      <c r="AU5" s="114">
        <f t="shared" si="4"/>
        <v>206205.19695424411</v>
      </c>
      <c r="AV5" s="114">
        <f t="shared" si="4"/>
        <v>208316.08746131184</v>
      </c>
      <c r="AW5" s="114">
        <f t="shared" si="4"/>
        <v>210448.58682595752</v>
      </c>
      <c r="AX5" s="114">
        <f t="shared" si="4"/>
        <v>212602.91625469306</v>
      </c>
      <c r="AY5" s="114">
        <f t="shared" si="4"/>
        <v>214779.29921848676</v>
      </c>
      <c r="AZ5" s="114">
        <f t="shared" si="4"/>
        <v>216977.96147594461</v>
      </c>
      <c r="BA5" s="114">
        <f t="shared" si="4"/>
        <v>219199.13109672826</v>
      </c>
      <c r="BB5" s="114">
        <f t="shared" si="4"/>
        <v>221443.03848521295</v>
      </c>
      <c r="BC5" s="114">
        <f t="shared" si="4"/>
        <v>223709.91640438774</v>
      </c>
      <c r="BD5" s="114">
        <f t="shared" si="4"/>
        <v>226000.00000000012</v>
      </c>
      <c r="BE5" s="115">
        <f t="shared" si="5"/>
        <v>2565845.1993883559</v>
      </c>
      <c r="BF5" s="73"/>
    </row>
    <row r="6" spans="2:58" x14ac:dyDescent="0.25">
      <c r="B6" s="106" t="s">
        <v>60</v>
      </c>
      <c r="C6" s="93">
        <v>5000000</v>
      </c>
      <c r="D6" s="71">
        <f t="shared" si="6"/>
        <v>416666.66666666669</v>
      </c>
      <c r="E6" s="94">
        <v>0.12</v>
      </c>
      <c r="F6" s="113">
        <f t="shared" si="7"/>
        <v>420620.33038940962</v>
      </c>
      <c r="G6" s="114">
        <f t="shared" ref="G6:Q6" si="12">+F6*(1+$S$6)</f>
        <v>424611.50960855064</v>
      </c>
      <c r="H6" s="114">
        <f t="shared" si="12"/>
        <v>428640.5603008669</v>
      </c>
      <c r="I6" s="114">
        <f t="shared" si="12"/>
        <v>432707.84182092547</v>
      </c>
      <c r="J6" s="114">
        <f t="shared" si="12"/>
        <v>436813.71693313454</v>
      </c>
      <c r="K6" s="114">
        <f t="shared" si="12"/>
        <v>440958.55184409861</v>
      </c>
      <c r="L6" s="114">
        <f t="shared" si="12"/>
        <v>445142.71623528085</v>
      </c>
      <c r="M6" s="114">
        <f t="shared" si="12"/>
        <v>449366.58329597529</v>
      </c>
      <c r="N6" s="114">
        <f t="shared" si="12"/>
        <v>453630.52975659189</v>
      </c>
      <c r="O6" s="114">
        <f t="shared" si="12"/>
        <v>457934.93592225743</v>
      </c>
      <c r="P6" s="114">
        <f t="shared" si="12"/>
        <v>462280.1857067353</v>
      </c>
      <c r="Q6" s="114">
        <f t="shared" si="12"/>
        <v>466666.66666666709</v>
      </c>
      <c r="R6" s="115">
        <f t="shared" si="1"/>
        <v>5319374.128480494</v>
      </c>
      <c r="S6" s="122">
        <f t="shared" si="9"/>
        <v>9.4887929345830457E-3</v>
      </c>
      <c r="T6" s="126">
        <v>0.6</v>
      </c>
      <c r="U6" s="72">
        <v>0.6</v>
      </c>
      <c r="V6" s="72">
        <v>0.6</v>
      </c>
      <c r="W6" s="72">
        <v>0.6</v>
      </c>
      <c r="X6" s="72">
        <v>0.6</v>
      </c>
      <c r="Y6" s="72">
        <v>0.6</v>
      </c>
      <c r="Z6" s="72">
        <v>0.6</v>
      </c>
      <c r="AA6" s="72">
        <v>0.6</v>
      </c>
      <c r="AB6" s="72">
        <v>0.6</v>
      </c>
      <c r="AC6" s="72">
        <v>0.6</v>
      </c>
      <c r="AD6" s="72">
        <v>0.6</v>
      </c>
      <c r="AE6" s="127">
        <v>0.6</v>
      </c>
      <c r="AF6" s="113">
        <f t="shared" si="10"/>
        <v>252372.19823364576</v>
      </c>
      <c r="AG6" s="114">
        <f t="shared" si="2"/>
        <v>254766.90576513036</v>
      </c>
      <c r="AH6" s="114">
        <f t="shared" si="2"/>
        <v>257184.33618052013</v>
      </c>
      <c r="AI6" s="114">
        <f t="shared" si="2"/>
        <v>259624.70509255526</v>
      </c>
      <c r="AJ6" s="114">
        <f t="shared" si="2"/>
        <v>262088.23015988071</v>
      </c>
      <c r="AK6" s="114">
        <f t="shared" si="2"/>
        <v>264575.13110645913</v>
      </c>
      <c r="AL6" s="114">
        <f t="shared" si="2"/>
        <v>267085.62974116852</v>
      </c>
      <c r="AM6" s="114">
        <f t="shared" si="2"/>
        <v>269619.94997758517</v>
      </c>
      <c r="AN6" s="114">
        <f t="shared" si="2"/>
        <v>272178.31785395514</v>
      </c>
      <c r="AO6" s="114">
        <f t="shared" si="2"/>
        <v>274760.96155335446</v>
      </c>
      <c r="AP6" s="114">
        <f t="shared" si="2"/>
        <v>277368.11142404116</v>
      </c>
      <c r="AQ6" s="114">
        <f t="shared" si="2"/>
        <v>280000.00000000023</v>
      </c>
      <c r="AR6" s="115">
        <f t="shared" si="3"/>
        <v>3191624.4770882959</v>
      </c>
      <c r="AS6" s="113">
        <f t="shared" si="11"/>
        <v>168248.13215576386</v>
      </c>
      <c r="AT6" s="114">
        <f t="shared" si="4"/>
        <v>169844.60384342028</v>
      </c>
      <c r="AU6" s="114">
        <f t="shared" si="4"/>
        <v>171456.22412034677</v>
      </c>
      <c r="AV6" s="114">
        <f t="shared" si="4"/>
        <v>173083.13672837021</v>
      </c>
      <c r="AW6" s="114">
        <f t="shared" si="4"/>
        <v>174725.48677325383</v>
      </c>
      <c r="AX6" s="114">
        <f t="shared" si="4"/>
        <v>176383.42073763948</v>
      </c>
      <c r="AY6" s="114">
        <f t="shared" si="4"/>
        <v>178057.08649411233</v>
      </c>
      <c r="AZ6" s="114">
        <f t="shared" si="4"/>
        <v>179746.63331839012</v>
      </c>
      <c r="BA6" s="114">
        <f t="shared" si="4"/>
        <v>181452.21190263674</v>
      </c>
      <c r="BB6" s="114">
        <f t="shared" si="4"/>
        <v>183173.97436890297</v>
      </c>
      <c r="BC6" s="114">
        <f t="shared" si="4"/>
        <v>184912.07428269414</v>
      </c>
      <c r="BD6" s="114">
        <f t="shared" si="4"/>
        <v>186666.66666666686</v>
      </c>
      <c r="BE6" s="115">
        <f t="shared" si="5"/>
        <v>2127749.6513921982</v>
      </c>
      <c r="BF6" s="73"/>
    </row>
    <row r="7" spans="2:58" x14ac:dyDescent="0.25">
      <c r="B7" s="106" t="s">
        <v>61</v>
      </c>
      <c r="C7" s="93">
        <v>5000000</v>
      </c>
      <c r="D7" s="71">
        <f t="shared" si="6"/>
        <v>416666.66666666669</v>
      </c>
      <c r="E7" s="94">
        <v>0.15</v>
      </c>
      <c r="F7" s="113">
        <f t="shared" si="7"/>
        <v>421547.88204993895</v>
      </c>
      <c r="G7" s="114">
        <f t="shared" ref="G7:Q7" si="13">+F7*(1+$S$7)</f>
        <v>426486.28046589415</v>
      </c>
      <c r="H7" s="114">
        <f t="shared" si="13"/>
        <v>431482.53180900938</v>
      </c>
      <c r="I7" s="114">
        <f t="shared" si="13"/>
        <v>436537.3138215199</v>
      </c>
      <c r="J7" s="114">
        <f t="shared" si="13"/>
        <v>441651.312185355</v>
      </c>
      <c r="K7" s="114">
        <f t="shared" si="13"/>
        <v>446825.22061515064</v>
      </c>
      <c r="L7" s="114">
        <f t="shared" si="13"/>
        <v>452059.74095235229</v>
      </c>
      <c r="M7" s="114">
        <f t="shared" si="13"/>
        <v>457355.58326041955</v>
      </c>
      <c r="N7" s="114">
        <f t="shared" si="13"/>
        <v>462713.46592114645</v>
      </c>
      <c r="O7" s="114">
        <f t="shared" si="13"/>
        <v>468134.11573211011</v>
      </c>
      <c r="P7" s="114">
        <f t="shared" si="13"/>
        <v>473618.26800526079</v>
      </c>
      <c r="Q7" s="114">
        <f t="shared" si="13"/>
        <v>479166.66666666727</v>
      </c>
      <c r="R7" s="115">
        <f t="shared" si="1"/>
        <v>5397578.3814848242</v>
      </c>
      <c r="S7" s="122">
        <f t="shared" si="9"/>
        <v>1.171491691985338E-2</v>
      </c>
      <c r="T7" s="126">
        <v>0.3</v>
      </c>
      <c r="U7" s="72">
        <v>0.3</v>
      </c>
      <c r="V7" s="72">
        <v>0.3</v>
      </c>
      <c r="W7" s="72">
        <v>0.3</v>
      </c>
      <c r="X7" s="72">
        <v>0.3</v>
      </c>
      <c r="Y7" s="72">
        <v>0.3</v>
      </c>
      <c r="Z7" s="72">
        <v>0.3</v>
      </c>
      <c r="AA7" s="72">
        <v>0.3</v>
      </c>
      <c r="AB7" s="72">
        <v>0.3</v>
      </c>
      <c r="AC7" s="72">
        <v>0.3</v>
      </c>
      <c r="AD7" s="72">
        <v>0.3</v>
      </c>
      <c r="AE7" s="127">
        <v>0.3</v>
      </c>
      <c r="AF7" s="113">
        <f t="shared" si="10"/>
        <v>126464.36461498168</v>
      </c>
      <c r="AG7" s="114">
        <f t="shared" si="2"/>
        <v>127945.88413976824</v>
      </c>
      <c r="AH7" s="114">
        <f t="shared" si="2"/>
        <v>129444.75954270281</v>
      </c>
      <c r="AI7" s="114">
        <f t="shared" si="2"/>
        <v>130961.19414645596</v>
      </c>
      <c r="AJ7" s="114">
        <f t="shared" si="2"/>
        <v>132495.39365560649</v>
      </c>
      <c r="AK7" s="114">
        <f t="shared" si="2"/>
        <v>134047.5661845452</v>
      </c>
      <c r="AL7" s="114">
        <f t="shared" si="2"/>
        <v>135617.92228570569</v>
      </c>
      <c r="AM7" s="114">
        <f t="shared" si="2"/>
        <v>137206.67497812587</v>
      </c>
      <c r="AN7" s="114">
        <f t="shared" si="2"/>
        <v>138814.03977634394</v>
      </c>
      <c r="AO7" s="114">
        <f t="shared" si="2"/>
        <v>140440.23471963304</v>
      </c>
      <c r="AP7" s="114">
        <f t="shared" si="2"/>
        <v>142085.48040157824</v>
      </c>
      <c r="AQ7" s="114">
        <f t="shared" si="2"/>
        <v>143750.00000000017</v>
      </c>
      <c r="AR7" s="115">
        <f t="shared" si="3"/>
        <v>1619273.5144454476</v>
      </c>
      <c r="AS7" s="113">
        <f t="shared" si="11"/>
        <v>295083.51743495726</v>
      </c>
      <c r="AT7" s="114">
        <f t="shared" si="4"/>
        <v>298540.39632612589</v>
      </c>
      <c r="AU7" s="114">
        <f t="shared" si="4"/>
        <v>302037.77226630657</v>
      </c>
      <c r="AV7" s="114">
        <f t="shared" si="4"/>
        <v>305576.11967506394</v>
      </c>
      <c r="AW7" s="114">
        <f t="shared" si="4"/>
        <v>309155.91852974851</v>
      </c>
      <c r="AX7" s="114">
        <f t="shared" si="4"/>
        <v>312777.65443060547</v>
      </c>
      <c r="AY7" s="114">
        <f t="shared" si="4"/>
        <v>316441.81866664661</v>
      </c>
      <c r="AZ7" s="114">
        <f t="shared" si="4"/>
        <v>320148.90828229371</v>
      </c>
      <c r="BA7" s="114">
        <f t="shared" si="4"/>
        <v>323899.42614480248</v>
      </c>
      <c r="BB7" s="114">
        <f t="shared" si="4"/>
        <v>327693.8810124771</v>
      </c>
      <c r="BC7" s="114">
        <f t="shared" si="4"/>
        <v>331532.78760368255</v>
      </c>
      <c r="BD7" s="114">
        <f t="shared" si="4"/>
        <v>335416.66666666709</v>
      </c>
      <c r="BE7" s="115">
        <f t="shared" si="5"/>
        <v>3778304.8670393769</v>
      </c>
      <c r="BF7" s="73"/>
    </row>
    <row r="8" spans="2:58" x14ac:dyDescent="0.25">
      <c r="B8" s="106" t="s">
        <v>62</v>
      </c>
      <c r="C8" s="93">
        <v>4500000</v>
      </c>
      <c r="D8" s="71">
        <f t="shared" si="6"/>
        <v>375000</v>
      </c>
      <c r="E8" s="94">
        <v>0.15</v>
      </c>
      <c r="F8" s="113">
        <f t="shared" si="7"/>
        <v>379393.09384494502</v>
      </c>
      <c r="G8" s="114">
        <f t="shared" ref="G8:Q8" si="14">+F8*(1+$S$8)</f>
        <v>383837.65241930471</v>
      </c>
      <c r="H8" s="114">
        <f t="shared" si="14"/>
        <v>388334.27862810844</v>
      </c>
      <c r="I8" s="114">
        <f t="shared" si="14"/>
        <v>392883.58243936795</v>
      </c>
      <c r="J8" s="114">
        <f t="shared" si="14"/>
        <v>397486.18096681952</v>
      </c>
      <c r="K8" s="114">
        <f t="shared" si="14"/>
        <v>402142.69855363562</v>
      </c>
      <c r="L8" s="114">
        <f t="shared" si="14"/>
        <v>406853.76685711712</v>
      </c>
      <c r="M8" s="114">
        <f t="shared" si="14"/>
        <v>411620.02493437764</v>
      </c>
      <c r="N8" s="114">
        <f t="shared" si="14"/>
        <v>416442.11932903185</v>
      </c>
      <c r="O8" s="114">
        <f t="shared" si="14"/>
        <v>421320.70415889914</v>
      </c>
      <c r="P8" s="114">
        <f t="shared" si="14"/>
        <v>426256.44120473479</v>
      </c>
      <c r="Q8" s="114">
        <f t="shared" si="14"/>
        <v>431250.00000000064</v>
      </c>
      <c r="R8" s="115">
        <f t="shared" si="1"/>
        <v>4857820.543336343</v>
      </c>
      <c r="S8" s="122">
        <f t="shared" si="9"/>
        <v>1.171491691985338E-2</v>
      </c>
      <c r="T8" s="126">
        <v>0.4</v>
      </c>
      <c r="U8" s="72">
        <v>0.4</v>
      </c>
      <c r="V8" s="72">
        <v>0.4</v>
      </c>
      <c r="W8" s="72">
        <v>0.4</v>
      </c>
      <c r="X8" s="72">
        <v>0.4</v>
      </c>
      <c r="Y8" s="72">
        <v>0.4</v>
      </c>
      <c r="Z8" s="72">
        <v>0.4</v>
      </c>
      <c r="AA8" s="72">
        <v>0.4</v>
      </c>
      <c r="AB8" s="72">
        <v>0.4</v>
      </c>
      <c r="AC8" s="72">
        <v>0.4</v>
      </c>
      <c r="AD8" s="72">
        <v>0.4</v>
      </c>
      <c r="AE8" s="127">
        <v>0.4</v>
      </c>
      <c r="AF8" s="113">
        <f t="shared" si="10"/>
        <v>151757.23753797801</v>
      </c>
      <c r="AG8" s="114">
        <f t="shared" si="2"/>
        <v>153535.06096772189</v>
      </c>
      <c r="AH8" s="114">
        <f t="shared" si="2"/>
        <v>155333.71145124338</v>
      </c>
      <c r="AI8" s="114">
        <f t="shared" si="2"/>
        <v>157153.43297574719</v>
      </c>
      <c r="AJ8" s="114">
        <f t="shared" si="2"/>
        <v>158994.47238672781</v>
      </c>
      <c r="AK8" s="114">
        <f t="shared" si="2"/>
        <v>160857.07942145425</v>
      </c>
      <c r="AL8" s="114">
        <f t="shared" si="2"/>
        <v>162741.50674284686</v>
      </c>
      <c r="AM8" s="114">
        <f t="shared" si="2"/>
        <v>164648.00997375106</v>
      </c>
      <c r="AN8" s="114">
        <f t="shared" si="2"/>
        <v>166576.84773161274</v>
      </c>
      <c r="AO8" s="114">
        <f t="shared" si="2"/>
        <v>168528.28166355967</v>
      </c>
      <c r="AP8" s="114">
        <f t="shared" si="2"/>
        <v>170502.57648189392</v>
      </c>
      <c r="AQ8" s="114">
        <f t="shared" si="2"/>
        <v>172500.00000000026</v>
      </c>
      <c r="AR8" s="115">
        <f t="shared" si="3"/>
        <v>1943128.2173345371</v>
      </c>
      <c r="AS8" s="113">
        <f t="shared" si="11"/>
        <v>227635.85630696701</v>
      </c>
      <c r="AT8" s="114">
        <f t="shared" si="4"/>
        <v>230302.59145158282</v>
      </c>
      <c r="AU8" s="114">
        <f t="shared" si="4"/>
        <v>233000.56717686506</v>
      </c>
      <c r="AV8" s="114">
        <f t="shared" si="4"/>
        <v>235730.14946362076</v>
      </c>
      <c r="AW8" s="114">
        <f t="shared" si="4"/>
        <v>238491.70858009171</v>
      </c>
      <c r="AX8" s="114">
        <f t="shared" si="4"/>
        <v>241285.61913218137</v>
      </c>
      <c r="AY8" s="114">
        <f t="shared" si="4"/>
        <v>244112.26011427026</v>
      </c>
      <c r="AZ8" s="114">
        <f t="shared" si="4"/>
        <v>246972.01496062658</v>
      </c>
      <c r="BA8" s="114">
        <f t="shared" si="4"/>
        <v>249865.27159741911</v>
      </c>
      <c r="BB8" s="114">
        <f t="shared" si="4"/>
        <v>252792.42249533947</v>
      </c>
      <c r="BC8" s="114">
        <f t="shared" si="4"/>
        <v>255753.86472284087</v>
      </c>
      <c r="BD8" s="114">
        <f t="shared" si="4"/>
        <v>258750.00000000038</v>
      </c>
      <c r="BE8" s="115">
        <f t="shared" si="5"/>
        <v>2914692.3260018057</v>
      </c>
      <c r="BF8" s="73"/>
    </row>
    <row r="9" spans="2:58" x14ac:dyDescent="0.25">
      <c r="B9" s="106" t="s">
        <v>63</v>
      </c>
      <c r="C9" s="93">
        <v>2500000</v>
      </c>
      <c r="D9" s="71">
        <f t="shared" si="6"/>
        <v>208333.33333333334</v>
      </c>
      <c r="E9" s="94">
        <v>0.12</v>
      </c>
      <c r="F9" s="113">
        <f t="shared" si="7"/>
        <v>210310.16519470481</v>
      </c>
      <c r="G9" s="114">
        <f t="shared" ref="G9:Q9" si="15">+F9*(1+$S$9)</f>
        <v>212305.75480427532</v>
      </c>
      <c r="H9" s="114">
        <f t="shared" si="15"/>
        <v>214320.28015043345</v>
      </c>
      <c r="I9" s="114">
        <f t="shared" si="15"/>
        <v>216353.92091046274</v>
      </c>
      <c r="J9" s="114">
        <f t="shared" si="15"/>
        <v>218406.85846656727</v>
      </c>
      <c r="K9" s="114">
        <f t="shared" si="15"/>
        <v>220479.2759220493</v>
      </c>
      <c r="L9" s="114">
        <f t="shared" si="15"/>
        <v>222571.35811764043</v>
      </c>
      <c r="M9" s="114">
        <f t="shared" si="15"/>
        <v>224683.29164798764</v>
      </c>
      <c r="N9" s="114">
        <f t="shared" si="15"/>
        <v>226815.26487829594</v>
      </c>
      <c r="O9" s="114">
        <f t="shared" si="15"/>
        <v>228967.46796112871</v>
      </c>
      <c r="P9" s="114">
        <f t="shared" si="15"/>
        <v>231140.09285336765</v>
      </c>
      <c r="Q9" s="114">
        <f t="shared" si="15"/>
        <v>233333.33333333355</v>
      </c>
      <c r="R9" s="115">
        <f t="shared" si="1"/>
        <v>2659687.064240247</v>
      </c>
      <c r="S9" s="122">
        <f t="shared" si="9"/>
        <v>9.4887929345830457E-3</v>
      </c>
      <c r="T9" s="126">
        <v>0.75</v>
      </c>
      <c r="U9" s="72">
        <v>0.75</v>
      </c>
      <c r="V9" s="72">
        <v>0.75</v>
      </c>
      <c r="W9" s="72">
        <v>0.75</v>
      </c>
      <c r="X9" s="72">
        <v>0.75</v>
      </c>
      <c r="Y9" s="72">
        <v>0.75</v>
      </c>
      <c r="Z9" s="72">
        <v>0.75</v>
      </c>
      <c r="AA9" s="72">
        <v>0.75</v>
      </c>
      <c r="AB9" s="72">
        <v>0.75</v>
      </c>
      <c r="AC9" s="72">
        <v>0.75</v>
      </c>
      <c r="AD9" s="72">
        <v>0.75</v>
      </c>
      <c r="AE9" s="127">
        <v>0.75</v>
      </c>
      <c r="AF9" s="113">
        <f t="shared" si="10"/>
        <v>157732.62389602861</v>
      </c>
      <c r="AG9" s="114">
        <f t="shared" si="2"/>
        <v>159229.31610320648</v>
      </c>
      <c r="AH9" s="114">
        <f t="shared" si="2"/>
        <v>160740.21011282509</v>
      </c>
      <c r="AI9" s="114">
        <f t="shared" si="2"/>
        <v>162265.44068284705</v>
      </c>
      <c r="AJ9" s="114">
        <f t="shared" si="2"/>
        <v>163805.14384992546</v>
      </c>
      <c r="AK9" s="114">
        <f t="shared" si="2"/>
        <v>165359.45694153698</v>
      </c>
      <c r="AL9" s="114">
        <f t="shared" si="2"/>
        <v>166928.5185882303</v>
      </c>
      <c r="AM9" s="114">
        <f t="shared" si="2"/>
        <v>168512.46873599073</v>
      </c>
      <c r="AN9" s="114">
        <f t="shared" si="2"/>
        <v>170111.44865872196</v>
      </c>
      <c r="AO9" s="114">
        <f t="shared" si="2"/>
        <v>171725.60097084654</v>
      </c>
      <c r="AP9" s="114">
        <f t="shared" si="2"/>
        <v>173355.06964002573</v>
      </c>
      <c r="AQ9" s="114">
        <f t="shared" si="2"/>
        <v>175000.00000000017</v>
      </c>
      <c r="AR9" s="115">
        <f t="shared" si="3"/>
        <v>1994765.2981801853</v>
      </c>
      <c r="AS9" s="113">
        <f t="shared" si="11"/>
        <v>52577.541298676195</v>
      </c>
      <c r="AT9" s="114">
        <f t="shared" si="4"/>
        <v>53076.438701068837</v>
      </c>
      <c r="AU9" s="114">
        <f t="shared" si="4"/>
        <v>53580.070037608355</v>
      </c>
      <c r="AV9" s="114">
        <f t="shared" si="4"/>
        <v>54088.480227615684</v>
      </c>
      <c r="AW9" s="114">
        <f t="shared" si="4"/>
        <v>54601.71461664181</v>
      </c>
      <c r="AX9" s="114">
        <f t="shared" si="4"/>
        <v>55119.818980512326</v>
      </c>
      <c r="AY9" s="114">
        <f t="shared" si="4"/>
        <v>55642.839529410121</v>
      </c>
      <c r="AZ9" s="114">
        <f t="shared" si="4"/>
        <v>56170.822911996918</v>
      </c>
      <c r="BA9" s="114">
        <f t="shared" si="4"/>
        <v>56703.816219573986</v>
      </c>
      <c r="BB9" s="114">
        <f t="shared" si="4"/>
        <v>57241.866990282171</v>
      </c>
      <c r="BC9" s="114">
        <f t="shared" si="4"/>
        <v>57785.023213341919</v>
      </c>
      <c r="BD9" s="114">
        <f t="shared" si="4"/>
        <v>58333.333333333372</v>
      </c>
      <c r="BE9" s="115">
        <f t="shared" si="5"/>
        <v>664921.76606006175</v>
      </c>
      <c r="BF9" s="73"/>
    </row>
    <row r="10" spans="2:58" x14ac:dyDescent="0.25">
      <c r="B10" s="106" t="s">
        <v>64</v>
      </c>
      <c r="C10" s="93">
        <v>1200000</v>
      </c>
      <c r="D10" s="71">
        <f t="shared" si="6"/>
        <v>100000</v>
      </c>
      <c r="E10" s="94">
        <v>0.1</v>
      </c>
      <c r="F10" s="113">
        <f t="shared" si="7"/>
        <v>100797.41404289038</v>
      </c>
      <c r="G10" s="114">
        <f t="shared" ref="G10:Q10" si="16">+F10*(1+$S$10)</f>
        <v>101601.18677733873</v>
      </c>
      <c r="H10" s="114">
        <f t="shared" si="16"/>
        <v>102411.36890844452</v>
      </c>
      <c r="I10" s="114">
        <f t="shared" si="16"/>
        <v>103228.01154563672</v>
      </c>
      <c r="J10" s="114">
        <f t="shared" si="16"/>
        <v>104051.16620589813</v>
      </c>
      <c r="K10" s="114">
        <f t="shared" si="16"/>
        <v>104880.88481701516</v>
      </c>
      <c r="L10" s="114">
        <f t="shared" si="16"/>
        <v>105717.21972085373</v>
      </c>
      <c r="M10" s="114">
        <f t="shared" si="16"/>
        <v>106560.22367666109</v>
      </c>
      <c r="N10" s="114">
        <f t="shared" si="16"/>
        <v>107409.94986439418</v>
      </c>
      <c r="O10" s="114">
        <f t="shared" si="16"/>
        <v>108266.45188807437</v>
      </c>
      <c r="P10" s="114">
        <f t="shared" si="16"/>
        <v>109129.78377916903</v>
      </c>
      <c r="Q10" s="114">
        <f t="shared" si="16"/>
        <v>110000.00000000003</v>
      </c>
      <c r="R10" s="115">
        <f t="shared" si="1"/>
        <v>1264053.6612263762</v>
      </c>
      <c r="S10" s="122">
        <f t="shared" si="9"/>
        <v>7.9741404289037643E-3</v>
      </c>
      <c r="T10" s="126">
        <v>0.4</v>
      </c>
      <c r="U10" s="72">
        <v>0.4</v>
      </c>
      <c r="V10" s="72">
        <v>0.4</v>
      </c>
      <c r="W10" s="72">
        <v>0.4</v>
      </c>
      <c r="X10" s="72">
        <v>0.4</v>
      </c>
      <c r="Y10" s="72">
        <v>0.4</v>
      </c>
      <c r="Z10" s="72">
        <v>0.4</v>
      </c>
      <c r="AA10" s="72">
        <v>0.4</v>
      </c>
      <c r="AB10" s="72">
        <v>0.4</v>
      </c>
      <c r="AC10" s="72">
        <v>0.4</v>
      </c>
      <c r="AD10" s="72">
        <v>0.4</v>
      </c>
      <c r="AE10" s="127">
        <v>0.4</v>
      </c>
      <c r="AF10" s="113">
        <f t="shared" si="10"/>
        <v>40318.965617156151</v>
      </c>
      <c r="AG10" s="114">
        <f t="shared" si="2"/>
        <v>40640.474710935494</v>
      </c>
      <c r="AH10" s="114">
        <f t="shared" si="2"/>
        <v>40964.547563377811</v>
      </c>
      <c r="AI10" s="114">
        <f t="shared" si="2"/>
        <v>41291.204618254691</v>
      </c>
      <c r="AJ10" s="114">
        <f t="shared" si="2"/>
        <v>41620.466482359254</v>
      </c>
      <c r="AK10" s="114">
        <f t="shared" si="2"/>
        <v>41952.35392680607</v>
      </c>
      <c r="AL10" s="114">
        <f t="shared" si="2"/>
        <v>42286.887888341495</v>
      </c>
      <c r="AM10" s="114">
        <f t="shared" si="2"/>
        <v>42624.089470664439</v>
      </c>
      <c r="AN10" s="114">
        <f t="shared" si="2"/>
        <v>42963.979945757674</v>
      </c>
      <c r="AO10" s="114">
        <f t="shared" si="2"/>
        <v>43306.580755229748</v>
      </c>
      <c r="AP10" s="114">
        <f t="shared" si="2"/>
        <v>43651.913511667612</v>
      </c>
      <c r="AQ10" s="114">
        <f t="shared" si="2"/>
        <v>44000.000000000015</v>
      </c>
      <c r="AR10" s="115">
        <f t="shared" si="3"/>
        <v>505621.46449055045</v>
      </c>
      <c r="AS10" s="113">
        <f t="shared" si="11"/>
        <v>60478.448425734226</v>
      </c>
      <c r="AT10" s="114">
        <f t="shared" si="4"/>
        <v>60960.712066403241</v>
      </c>
      <c r="AU10" s="114">
        <f t="shared" si="4"/>
        <v>61446.82134506671</v>
      </c>
      <c r="AV10" s="114">
        <f t="shared" si="4"/>
        <v>61936.806927382029</v>
      </c>
      <c r="AW10" s="114">
        <f t="shared" si="4"/>
        <v>62430.699723538877</v>
      </c>
      <c r="AX10" s="114">
        <f t="shared" si="4"/>
        <v>62928.530890209091</v>
      </c>
      <c r="AY10" s="114">
        <f t="shared" si="4"/>
        <v>63430.331832512231</v>
      </c>
      <c r="AZ10" s="114">
        <f t="shared" si="4"/>
        <v>63936.134205996648</v>
      </c>
      <c r="BA10" s="114">
        <f t="shared" si="4"/>
        <v>64445.969918636503</v>
      </c>
      <c r="BB10" s="114">
        <f t="shared" si="4"/>
        <v>64959.871132844622</v>
      </c>
      <c r="BC10" s="114">
        <f t="shared" si="4"/>
        <v>65477.870267501414</v>
      </c>
      <c r="BD10" s="114">
        <f t="shared" si="4"/>
        <v>66000.000000000015</v>
      </c>
      <c r="BE10" s="115">
        <f t="shared" si="5"/>
        <v>758432.19673582562</v>
      </c>
      <c r="BF10" s="73"/>
    </row>
    <row r="11" spans="2:58" x14ac:dyDescent="0.25">
      <c r="B11" s="106" t="s">
        <v>65</v>
      </c>
      <c r="C11" s="93">
        <v>600000</v>
      </c>
      <c r="D11" s="71">
        <f t="shared" si="6"/>
        <v>50000</v>
      </c>
      <c r="E11" s="94">
        <v>0.1</v>
      </c>
      <c r="F11" s="113">
        <f t="shared" si="7"/>
        <v>50398.707021445189</v>
      </c>
      <c r="G11" s="114">
        <f t="shared" ref="G11:Q11" si="17">+F11*(1+$S$11)</f>
        <v>50800.593388669367</v>
      </c>
      <c r="H11" s="114">
        <f t="shared" si="17"/>
        <v>51205.684454222261</v>
      </c>
      <c r="I11" s="114">
        <f t="shared" si="17"/>
        <v>51614.00577281836</v>
      </c>
      <c r="J11" s="114">
        <f t="shared" si="17"/>
        <v>52025.583102949066</v>
      </c>
      <c r="K11" s="114">
        <f t="shared" si="17"/>
        <v>52440.442408507581</v>
      </c>
      <c r="L11" s="114">
        <f t="shared" si="17"/>
        <v>52858.609860426863</v>
      </c>
      <c r="M11" s="114">
        <f t="shared" si="17"/>
        <v>53280.111838330544</v>
      </c>
      <c r="N11" s="114">
        <f t="shared" si="17"/>
        <v>53704.974932197088</v>
      </c>
      <c r="O11" s="114">
        <f t="shared" si="17"/>
        <v>54133.225944037185</v>
      </c>
      <c r="P11" s="114">
        <f t="shared" si="17"/>
        <v>54564.891889584513</v>
      </c>
      <c r="Q11" s="114">
        <f t="shared" si="17"/>
        <v>55000.000000000015</v>
      </c>
      <c r="R11" s="115">
        <f t="shared" si="1"/>
        <v>632026.8306131881</v>
      </c>
      <c r="S11" s="122">
        <f t="shared" si="9"/>
        <v>7.9741404289037643E-3</v>
      </c>
      <c r="T11" s="126">
        <v>0.6</v>
      </c>
      <c r="U11" s="72">
        <v>0.6</v>
      </c>
      <c r="V11" s="72">
        <v>0.6</v>
      </c>
      <c r="W11" s="72">
        <v>0.6</v>
      </c>
      <c r="X11" s="72">
        <v>0.6</v>
      </c>
      <c r="Y11" s="72">
        <v>0.6</v>
      </c>
      <c r="Z11" s="72">
        <v>0.6</v>
      </c>
      <c r="AA11" s="72">
        <v>0.6</v>
      </c>
      <c r="AB11" s="72">
        <v>0.6</v>
      </c>
      <c r="AC11" s="72">
        <v>0.6</v>
      </c>
      <c r="AD11" s="72">
        <v>0.6</v>
      </c>
      <c r="AE11" s="127">
        <v>0.6</v>
      </c>
      <c r="AF11" s="113">
        <f t="shared" si="10"/>
        <v>30239.224212867113</v>
      </c>
      <c r="AG11" s="114">
        <f t="shared" si="2"/>
        <v>30480.35603320162</v>
      </c>
      <c r="AH11" s="114">
        <f t="shared" si="2"/>
        <v>30723.410672533355</v>
      </c>
      <c r="AI11" s="114">
        <f t="shared" si="2"/>
        <v>30968.403463691015</v>
      </c>
      <c r="AJ11" s="114">
        <f t="shared" si="2"/>
        <v>31215.349861769439</v>
      </c>
      <c r="AK11" s="114">
        <f t="shared" si="2"/>
        <v>31464.265445104546</v>
      </c>
      <c r="AL11" s="114">
        <f t="shared" si="2"/>
        <v>31715.165916256115</v>
      </c>
      <c r="AM11" s="114">
        <f t="shared" si="2"/>
        <v>31968.067102998324</v>
      </c>
      <c r="AN11" s="114">
        <f t="shared" si="2"/>
        <v>32222.984959318252</v>
      </c>
      <c r="AO11" s="114">
        <f t="shared" si="2"/>
        <v>32479.935566422311</v>
      </c>
      <c r="AP11" s="114">
        <f t="shared" si="2"/>
        <v>32738.935133750707</v>
      </c>
      <c r="AQ11" s="114">
        <f t="shared" si="2"/>
        <v>33000.000000000007</v>
      </c>
      <c r="AR11" s="115">
        <f t="shared" si="3"/>
        <v>379216.09836791281</v>
      </c>
      <c r="AS11" s="113">
        <f t="shared" si="11"/>
        <v>20159.482808578075</v>
      </c>
      <c r="AT11" s="114">
        <f t="shared" si="4"/>
        <v>20320.237355467747</v>
      </c>
      <c r="AU11" s="114">
        <f t="shared" si="4"/>
        <v>20482.273781688906</v>
      </c>
      <c r="AV11" s="114">
        <f t="shared" si="4"/>
        <v>20645.602309127346</v>
      </c>
      <c r="AW11" s="114">
        <f t="shared" si="4"/>
        <v>20810.233241179627</v>
      </c>
      <c r="AX11" s="114">
        <f t="shared" si="4"/>
        <v>20976.176963403035</v>
      </c>
      <c r="AY11" s="114">
        <f t="shared" si="4"/>
        <v>21143.443944170747</v>
      </c>
      <c r="AZ11" s="114">
        <f t="shared" si="4"/>
        <v>21312.04473533222</v>
      </c>
      <c r="BA11" s="114">
        <f t="shared" si="4"/>
        <v>21481.989972878837</v>
      </c>
      <c r="BB11" s="114">
        <f t="shared" si="4"/>
        <v>21653.290377614874</v>
      </c>
      <c r="BC11" s="114">
        <f t="shared" si="4"/>
        <v>21825.956755833806</v>
      </c>
      <c r="BD11" s="114">
        <f t="shared" si="4"/>
        <v>22000.000000000007</v>
      </c>
      <c r="BE11" s="115">
        <f t="shared" si="5"/>
        <v>252810.73224527523</v>
      </c>
      <c r="BF11" s="73"/>
    </row>
    <row r="12" spans="2:58" x14ac:dyDescent="0.25">
      <c r="B12" s="106" t="s">
        <v>66</v>
      </c>
      <c r="C12" s="93">
        <v>450000</v>
      </c>
      <c r="D12" s="71">
        <f t="shared" si="6"/>
        <v>37500</v>
      </c>
      <c r="E12" s="94">
        <v>0.1</v>
      </c>
      <c r="F12" s="113">
        <f t="shared" si="7"/>
        <v>37799.030266083893</v>
      </c>
      <c r="G12" s="114">
        <f t="shared" ref="G12:Q12" si="18">+F12*(1+$S$12)</f>
        <v>38100.445041502033</v>
      </c>
      <c r="H12" s="114">
        <f t="shared" si="18"/>
        <v>38404.263340666701</v>
      </c>
      <c r="I12" s="114">
        <f>+H12*(1+$S$12)</f>
        <v>38710.504329613781</v>
      </c>
      <c r="J12" s="114">
        <f t="shared" si="18"/>
        <v>39019.18732721181</v>
      </c>
      <c r="K12" s="114">
        <f t="shared" si="18"/>
        <v>39330.331806380702</v>
      </c>
      <c r="L12" s="114">
        <f t="shared" si="18"/>
        <v>39643.957395320162</v>
      </c>
      <c r="M12" s="114">
        <f t="shared" si="18"/>
        <v>39960.083878747922</v>
      </c>
      <c r="N12" s="114">
        <f t="shared" si="18"/>
        <v>40278.731199147835</v>
      </c>
      <c r="O12" s="114">
        <f t="shared" si="18"/>
        <v>40599.919458027907</v>
      </c>
      <c r="P12" s="114">
        <f t="shared" si="18"/>
        <v>40923.668917188406</v>
      </c>
      <c r="Q12" s="114">
        <f t="shared" si="18"/>
        <v>41250.000000000029</v>
      </c>
      <c r="R12" s="115">
        <f t="shared" si="1"/>
        <v>474020.12295989122</v>
      </c>
      <c r="S12" s="122">
        <f t="shared" si="9"/>
        <v>7.9741404289037643E-3</v>
      </c>
      <c r="T12" s="126">
        <v>0.6</v>
      </c>
      <c r="U12" s="72">
        <v>0.6</v>
      </c>
      <c r="V12" s="72">
        <v>0.6</v>
      </c>
      <c r="W12" s="72">
        <v>0.6</v>
      </c>
      <c r="X12" s="72">
        <v>0.6</v>
      </c>
      <c r="Y12" s="72">
        <v>0.6</v>
      </c>
      <c r="Z12" s="72">
        <v>0.6</v>
      </c>
      <c r="AA12" s="72">
        <v>0.6</v>
      </c>
      <c r="AB12" s="72">
        <v>0.6</v>
      </c>
      <c r="AC12" s="72">
        <v>0.6</v>
      </c>
      <c r="AD12" s="72">
        <v>0.6</v>
      </c>
      <c r="AE12" s="127">
        <v>0.6</v>
      </c>
      <c r="AF12" s="113">
        <f t="shared" si="10"/>
        <v>22679.418159650337</v>
      </c>
      <c r="AG12" s="114">
        <f t="shared" si="2"/>
        <v>22860.267024901219</v>
      </c>
      <c r="AH12" s="114">
        <f t="shared" si="2"/>
        <v>23042.55800440002</v>
      </c>
      <c r="AI12" s="114">
        <f t="shared" si="2"/>
        <v>23226.302597768266</v>
      </c>
      <c r="AJ12" s="114">
        <f t="shared" si="2"/>
        <v>23411.512396327085</v>
      </c>
      <c r="AK12" s="114">
        <f t="shared" si="2"/>
        <v>23598.199083828422</v>
      </c>
      <c r="AL12" s="114">
        <f t="shared" si="2"/>
        <v>23786.374437192095</v>
      </c>
      <c r="AM12" s="114">
        <f t="shared" si="2"/>
        <v>23976.050327248751</v>
      </c>
      <c r="AN12" s="114">
        <f t="shared" si="2"/>
        <v>24167.238719488701</v>
      </c>
      <c r="AO12" s="114">
        <f t="shared" si="2"/>
        <v>24359.951674816744</v>
      </c>
      <c r="AP12" s="114">
        <f t="shared" si="2"/>
        <v>24554.201350313044</v>
      </c>
      <c r="AQ12" s="114">
        <f t="shared" si="2"/>
        <v>24750.000000000018</v>
      </c>
      <c r="AR12" s="115">
        <f t="shared" si="3"/>
        <v>284412.0737759347</v>
      </c>
      <c r="AS12" s="113">
        <f t="shared" si="11"/>
        <v>15119.612106433557</v>
      </c>
      <c r="AT12" s="114">
        <f t="shared" si="4"/>
        <v>15240.178016600814</v>
      </c>
      <c r="AU12" s="114">
        <f t="shared" si="4"/>
        <v>15361.705336266681</v>
      </c>
      <c r="AV12" s="114">
        <f t="shared" si="4"/>
        <v>15484.201731845515</v>
      </c>
      <c r="AW12" s="114">
        <f t="shared" si="4"/>
        <v>15607.674930884725</v>
      </c>
      <c r="AX12" s="114">
        <f t="shared" si="4"/>
        <v>15732.13272255228</v>
      </c>
      <c r="AY12" s="114">
        <f t="shared" si="4"/>
        <v>15857.582958128067</v>
      </c>
      <c r="AZ12" s="114">
        <f t="shared" si="4"/>
        <v>15984.033551499171</v>
      </c>
      <c r="BA12" s="114">
        <f t="shared" si="4"/>
        <v>16111.492479659133</v>
      </c>
      <c r="BB12" s="114">
        <f t="shared" si="4"/>
        <v>16239.967783211163</v>
      </c>
      <c r="BC12" s="114">
        <f t="shared" si="4"/>
        <v>16369.467566875363</v>
      </c>
      <c r="BD12" s="114">
        <f t="shared" si="4"/>
        <v>16500.000000000011</v>
      </c>
      <c r="BE12" s="115">
        <f t="shared" si="5"/>
        <v>189608.04918395649</v>
      </c>
      <c r="BF12" s="73"/>
    </row>
    <row r="13" spans="2:58" x14ac:dyDescent="0.25">
      <c r="B13" s="106" t="s">
        <v>67</v>
      </c>
      <c r="C13" s="93">
        <v>300000</v>
      </c>
      <c r="D13" s="71">
        <f t="shared" si="6"/>
        <v>25000</v>
      </c>
      <c r="E13" s="94">
        <v>0.1</v>
      </c>
      <c r="F13" s="113">
        <f t="shared" si="7"/>
        <v>25199.353510722594</v>
      </c>
      <c r="G13" s="114">
        <f t="shared" ref="G13:Q13" si="19">+F13*(1+$S$13)</f>
        <v>25400.296694334684</v>
      </c>
      <c r="H13" s="114">
        <f t="shared" si="19"/>
        <v>25602.84222711113</v>
      </c>
      <c r="I13" s="114">
        <f t="shared" si="19"/>
        <v>25807.00288640918</v>
      </c>
      <c r="J13" s="114">
        <f t="shared" si="19"/>
        <v>26012.791551474533</v>
      </c>
      <c r="K13" s="114">
        <f t="shared" si="19"/>
        <v>26220.22120425379</v>
      </c>
      <c r="L13" s="114">
        <f t="shared" si="19"/>
        <v>26429.304930213431</v>
      </c>
      <c r="M13" s="114">
        <f t="shared" si="19"/>
        <v>26640.055919165272</v>
      </c>
      <c r="N13" s="114">
        <f t="shared" si="19"/>
        <v>26852.487466098544</v>
      </c>
      <c r="O13" s="114">
        <f t="shared" si="19"/>
        <v>27066.612972018593</v>
      </c>
      <c r="P13" s="114">
        <f t="shared" si="19"/>
        <v>27282.445944792256</v>
      </c>
      <c r="Q13" s="114">
        <f t="shared" si="19"/>
        <v>27500.000000000007</v>
      </c>
      <c r="R13" s="115">
        <f t="shared" si="1"/>
        <v>316013.41530659405</v>
      </c>
      <c r="S13" s="122">
        <f t="shared" si="9"/>
        <v>7.9741404289037643E-3</v>
      </c>
      <c r="T13" s="126">
        <v>0.55000000000000004</v>
      </c>
      <c r="U13" s="72">
        <v>0.55000000000000004</v>
      </c>
      <c r="V13" s="72">
        <v>0.55000000000000004</v>
      </c>
      <c r="W13" s="72">
        <v>0.55000000000000004</v>
      </c>
      <c r="X13" s="72">
        <v>0.55000000000000004</v>
      </c>
      <c r="Y13" s="72">
        <v>0.55000000000000004</v>
      </c>
      <c r="Z13" s="72">
        <v>0.55000000000000004</v>
      </c>
      <c r="AA13" s="72">
        <v>0.55000000000000004</v>
      </c>
      <c r="AB13" s="72">
        <v>0.55000000000000004</v>
      </c>
      <c r="AC13" s="72">
        <v>0.55000000000000004</v>
      </c>
      <c r="AD13" s="72">
        <v>0.55000000000000004</v>
      </c>
      <c r="AE13" s="127">
        <v>0.55000000000000004</v>
      </c>
      <c r="AF13" s="113">
        <f t="shared" si="10"/>
        <v>13859.644430897428</v>
      </c>
      <c r="AG13" s="114">
        <f t="shared" si="2"/>
        <v>13970.163181884078</v>
      </c>
      <c r="AH13" s="114">
        <f t="shared" si="2"/>
        <v>14081.563224911122</v>
      </c>
      <c r="AI13" s="114">
        <f t="shared" si="2"/>
        <v>14193.85158752505</v>
      </c>
      <c r="AJ13" s="114">
        <f t="shared" si="2"/>
        <v>14307.035353310994</v>
      </c>
      <c r="AK13" s="114">
        <f t="shared" si="2"/>
        <v>14421.121662339587</v>
      </c>
      <c r="AL13" s="114">
        <f t="shared" si="2"/>
        <v>14536.117711617388</v>
      </c>
      <c r="AM13" s="114">
        <f t="shared" si="2"/>
        <v>14652.0307555409</v>
      </c>
      <c r="AN13" s="114">
        <f t="shared" si="2"/>
        <v>14768.868106354201</v>
      </c>
      <c r="AO13" s="114">
        <f t="shared" si="2"/>
        <v>14886.637134610228</v>
      </c>
      <c r="AP13" s="114">
        <f t="shared" si="2"/>
        <v>15005.345269635742</v>
      </c>
      <c r="AQ13" s="114">
        <f t="shared" si="2"/>
        <v>15125.000000000005</v>
      </c>
      <c r="AR13" s="115">
        <f t="shared" si="3"/>
        <v>173807.37841862673</v>
      </c>
      <c r="AS13" s="113">
        <f t="shared" si="11"/>
        <v>11339.709079825167</v>
      </c>
      <c r="AT13" s="114">
        <f t="shared" si="4"/>
        <v>11430.133512450606</v>
      </c>
      <c r="AU13" s="114">
        <f t="shared" si="4"/>
        <v>11521.279002200008</v>
      </c>
      <c r="AV13" s="114">
        <f t="shared" si="4"/>
        <v>11613.15129888413</v>
      </c>
      <c r="AW13" s="114">
        <f t="shared" si="4"/>
        <v>11705.756198163539</v>
      </c>
      <c r="AX13" s="114">
        <f t="shared" si="4"/>
        <v>11799.099541914204</v>
      </c>
      <c r="AY13" s="114">
        <f t="shared" si="4"/>
        <v>11893.187218596044</v>
      </c>
      <c r="AZ13" s="114">
        <f t="shared" si="4"/>
        <v>11988.025163624372</v>
      </c>
      <c r="BA13" s="114">
        <f t="shared" si="4"/>
        <v>12083.619359744343</v>
      </c>
      <c r="BB13" s="114">
        <f t="shared" si="4"/>
        <v>12179.975837408365</v>
      </c>
      <c r="BC13" s="114">
        <f t="shared" si="4"/>
        <v>12277.100675156515</v>
      </c>
      <c r="BD13" s="114">
        <f t="shared" si="4"/>
        <v>12375.000000000002</v>
      </c>
      <c r="BE13" s="115">
        <f t="shared" si="5"/>
        <v>142206.03688796729</v>
      </c>
      <c r="BF13" s="73"/>
    </row>
    <row r="14" spans="2:58" x14ac:dyDescent="0.25">
      <c r="B14" s="106" t="s">
        <v>68</v>
      </c>
      <c r="C14" s="93">
        <v>280000</v>
      </c>
      <c r="D14" s="71">
        <f t="shared" si="6"/>
        <v>23333.333333333332</v>
      </c>
      <c r="E14" s="94">
        <v>0.1</v>
      </c>
      <c r="F14" s="113">
        <f t="shared" si="7"/>
        <v>23519.396610007752</v>
      </c>
      <c r="G14" s="114">
        <f t="shared" ref="G14:Q14" si="20">+F14*(1+$S$14)</f>
        <v>23706.943581379037</v>
      </c>
      <c r="H14" s="114">
        <f t="shared" si="20"/>
        <v>23895.986078637052</v>
      </c>
      <c r="I14" s="114">
        <f t="shared" si="20"/>
        <v>24086.536027315233</v>
      </c>
      <c r="J14" s="114">
        <f t="shared" si="20"/>
        <v>24278.605448042894</v>
      </c>
      <c r="K14" s="114">
        <f t="shared" si="20"/>
        <v>24472.206457303535</v>
      </c>
      <c r="L14" s="114">
        <f t="shared" si="20"/>
        <v>24667.3512681992</v>
      </c>
      <c r="M14" s="114">
        <f t="shared" si="20"/>
        <v>24864.052191220919</v>
      </c>
      <c r="N14" s="114">
        <f t="shared" si="20"/>
        <v>25062.321635025306</v>
      </c>
      <c r="O14" s="114">
        <f t="shared" si="20"/>
        <v>25262.17210721735</v>
      </c>
      <c r="P14" s="114">
        <f t="shared" si="20"/>
        <v>25463.616215139435</v>
      </c>
      <c r="Q14" s="114">
        <f t="shared" si="20"/>
        <v>25666.666666666668</v>
      </c>
      <c r="R14" s="115">
        <f t="shared" si="1"/>
        <v>294945.85428615438</v>
      </c>
      <c r="S14" s="122">
        <f t="shared" si="9"/>
        <v>7.9741404289037643E-3</v>
      </c>
      <c r="T14" s="126">
        <v>0.6</v>
      </c>
      <c r="U14" s="72">
        <v>0.6</v>
      </c>
      <c r="V14" s="72">
        <v>0.6</v>
      </c>
      <c r="W14" s="72">
        <v>0.6</v>
      </c>
      <c r="X14" s="72">
        <v>0.6</v>
      </c>
      <c r="Y14" s="72">
        <v>0.6</v>
      </c>
      <c r="Z14" s="72">
        <v>0.6</v>
      </c>
      <c r="AA14" s="72">
        <v>0.6</v>
      </c>
      <c r="AB14" s="72">
        <v>0.6</v>
      </c>
      <c r="AC14" s="72">
        <v>0.6</v>
      </c>
      <c r="AD14" s="72">
        <v>0.6</v>
      </c>
      <c r="AE14" s="127">
        <v>0.6</v>
      </c>
      <c r="AF14" s="113">
        <f t="shared" si="10"/>
        <v>14111.637966004651</v>
      </c>
      <c r="AG14" s="114">
        <f t="shared" si="2"/>
        <v>14224.166148827422</v>
      </c>
      <c r="AH14" s="114">
        <f t="shared" si="2"/>
        <v>14337.591647182231</v>
      </c>
      <c r="AI14" s="114">
        <f t="shared" si="2"/>
        <v>14451.92161638914</v>
      </c>
      <c r="AJ14" s="114">
        <f t="shared" si="2"/>
        <v>14567.163268825736</v>
      </c>
      <c r="AK14" s="114">
        <f t="shared" si="2"/>
        <v>14683.32387438212</v>
      </c>
      <c r="AL14" s="114">
        <f t="shared" si="2"/>
        <v>14800.41076091952</v>
      </c>
      <c r="AM14" s="114">
        <f t="shared" si="2"/>
        <v>14918.43131473255</v>
      </c>
      <c r="AN14" s="114">
        <f t="shared" si="2"/>
        <v>15037.392981015182</v>
      </c>
      <c r="AO14" s="114">
        <f t="shared" si="2"/>
        <v>15157.303264330409</v>
      </c>
      <c r="AP14" s="114">
        <f t="shared" si="2"/>
        <v>15278.16972908366</v>
      </c>
      <c r="AQ14" s="114">
        <f t="shared" si="2"/>
        <v>15400</v>
      </c>
      <c r="AR14" s="115">
        <f t="shared" si="3"/>
        <v>176967.51257169261</v>
      </c>
      <c r="AS14" s="113">
        <f t="shared" si="11"/>
        <v>9407.7586440031009</v>
      </c>
      <c r="AT14" s="114">
        <f t="shared" si="4"/>
        <v>9482.7774325516148</v>
      </c>
      <c r="AU14" s="114">
        <f t="shared" si="4"/>
        <v>9558.3944314548207</v>
      </c>
      <c r="AV14" s="114">
        <f t="shared" si="4"/>
        <v>9634.6144109260931</v>
      </c>
      <c r="AW14" s="114">
        <f t="shared" si="4"/>
        <v>9711.4421792171579</v>
      </c>
      <c r="AX14" s="114">
        <f t="shared" si="4"/>
        <v>9788.8825829214147</v>
      </c>
      <c r="AY14" s="114">
        <f t="shared" si="4"/>
        <v>9866.9405072796799</v>
      </c>
      <c r="AZ14" s="114">
        <f t="shared" si="4"/>
        <v>9945.6208764883686</v>
      </c>
      <c r="BA14" s="114">
        <f t="shared" si="4"/>
        <v>10024.928654010124</v>
      </c>
      <c r="BB14" s="114">
        <f t="shared" si="4"/>
        <v>10104.868842886941</v>
      </c>
      <c r="BC14" s="114">
        <f t="shared" si="4"/>
        <v>10185.446486055775</v>
      </c>
      <c r="BD14" s="114">
        <f t="shared" si="4"/>
        <v>10266.666666666668</v>
      </c>
      <c r="BE14" s="115">
        <f t="shared" si="5"/>
        <v>117978.34171446174</v>
      </c>
      <c r="BF14" s="73"/>
    </row>
    <row r="15" spans="2:58" s="75" customFormat="1" ht="12" x14ac:dyDescent="0.2">
      <c r="B15" s="105" t="s">
        <v>69</v>
      </c>
      <c r="C15" s="95"/>
      <c r="D15" s="83"/>
      <c r="E15" s="96"/>
      <c r="F15" s="116">
        <f>SUM(F4:F14)</f>
        <v>2804687.6328773005</v>
      </c>
      <c r="G15" s="84">
        <f t="shared" ref="G15:Q15" si="21">SUM(G4:G14)</f>
        <v>2832147.3209889987</v>
      </c>
      <c r="H15" s="84">
        <f t="shared" si="21"/>
        <v>2859881.8439608887</v>
      </c>
      <c r="I15" s="84">
        <f t="shared" si="21"/>
        <v>2887894.0103675784</v>
      </c>
      <c r="J15" s="84">
        <f t="shared" si="21"/>
        <v>2916186.6580392094</v>
      </c>
      <c r="K15" s="84">
        <f t="shared" si="21"/>
        <v>2944762.6543714725</v>
      </c>
      <c r="L15" s="84">
        <f t="shared" si="21"/>
        <v>2973624.8966389569</v>
      </c>
      <c r="M15" s="84">
        <f t="shared" si="21"/>
        <v>3002776.3123118784</v>
      </c>
      <c r="N15" s="84">
        <f t="shared" si="21"/>
        <v>3032219.859376213</v>
      </c>
      <c r="O15" s="84">
        <f t="shared" si="21"/>
        <v>3061958.5266572679</v>
      </c>
      <c r="P15" s="84">
        <f t="shared" si="21"/>
        <v>3091995.3341467483</v>
      </c>
      <c r="Q15" s="84">
        <f t="shared" si="21"/>
        <v>3122333.3333333354</v>
      </c>
      <c r="R15" s="115">
        <f>SUM(F15:Q15)</f>
        <v>35530468.383069851</v>
      </c>
      <c r="S15" s="123"/>
      <c r="T15" s="95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96"/>
      <c r="AF15" s="116">
        <f t="shared" ref="AF15:AG15" si="22">SUM(AF4:AF14)</f>
        <v>1490596.6706375016</v>
      </c>
      <c r="AG15" s="84">
        <f t="shared" si="22"/>
        <v>1504830.5890002269</v>
      </c>
      <c r="AH15" s="84">
        <f>SUM(AH4:AH14)</f>
        <v>1519203.1172377288</v>
      </c>
      <c r="AI15" s="84">
        <f t="shared" ref="AI15:AQ15" si="23">SUM(AI4:AI14)</f>
        <v>1533715.631269339</v>
      </c>
      <c r="AJ15" s="84">
        <f t="shared" si="23"/>
        <v>1548369.520925787</v>
      </c>
      <c r="AK15" s="84">
        <f t="shared" si="23"/>
        <v>1563166.1900923026</v>
      </c>
      <c r="AL15" s="84">
        <f t="shared" si="23"/>
        <v>1578107.0568532096</v>
      </c>
      <c r="AM15" s="84">
        <f t="shared" si="23"/>
        <v>1593193.5536380338</v>
      </c>
      <c r="AN15" s="84">
        <f t="shared" si="23"/>
        <v>1608427.1273691382</v>
      </c>
      <c r="AO15" s="84">
        <f t="shared" si="23"/>
        <v>1623809.2396109016</v>
      </c>
      <c r="AP15" s="84">
        <f t="shared" si="23"/>
        <v>1639341.3667204557</v>
      </c>
      <c r="AQ15" s="84">
        <f t="shared" si="23"/>
        <v>1655025.0000000012</v>
      </c>
      <c r="AR15" s="115">
        <f>SUM(AF15:AQ15)</f>
        <v>18857785.063354623</v>
      </c>
      <c r="AS15" s="116">
        <f t="shared" ref="AS15:BD15" si="24">SUM(AS4:AS14)</f>
        <v>1314090.9622397998</v>
      </c>
      <c r="AT15" s="84">
        <f t="shared" si="24"/>
        <v>1327316.7319887718</v>
      </c>
      <c r="AU15" s="84">
        <f t="shared" si="24"/>
        <v>1340678.7267231592</v>
      </c>
      <c r="AV15" s="84">
        <f t="shared" si="24"/>
        <v>1354178.3790982394</v>
      </c>
      <c r="AW15" s="84">
        <f t="shared" si="24"/>
        <v>1367817.1371134229</v>
      </c>
      <c r="AX15" s="84">
        <f t="shared" si="24"/>
        <v>1381596.4642791694</v>
      </c>
      <c r="AY15" s="84">
        <f t="shared" si="24"/>
        <v>1395517.839785747</v>
      </c>
      <c r="AZ15" s="84">
        <f t="shared" si="24"/>
        <v>1409582.7586738456</v>
      </c>
      <c r="BA15" s="84">
        <f t="shared" si="24"/>
        <v>1423792.7320070753</v>
      </c>
      <c r="BB15" s="84">
        <f t="shared" si="24"/>
        <v>1438149.2870463666</v>
      </c>
      <c r="BC15" s="84">
        <f t="shared" si="24"/>
        <v>1452653.9674262926</v>
      </c>
      <c r="BD15" s="84">
        <f t="shared" si="24"/>
        <v>1467308.3333333347</v>
      </c>
      <c r="BE15" s="115">
        <f>SUM(AS15:BD15)</f>
        <v>16672683.319715222</v>
      </c>
      <c r="BF15" s="76"/>
    </row>
    <row r="16" spans="2:58" s="77" customFormat="1" ht="11.25" x14ac:dyDescent="0.2">
      <c r="B16" s="107" t="s">
        <v>55</v>
      </c>
      <c r="C16" s="97"/>
      <c r="D16" s="98"/>
      <c r="E16" s="99"/>
      <c r="F16" s="117">
        <v>1</v>
      </c>
      <c r="G16" s="78">
        <v>1</v>
      </c>
      <c r="H16" s="78">
        <v>1</v>
      </c>
      <c r="I16" s="78">
        <v>1</v>
      </c>
      <c r="J16" s="78">
        <v>1</v>
      </c>
      <c r="K16" s="78">
        <v>1</v>
      </c>
      <c r="L16" s="78">
        <v>1</v>
      </c>
      <c r="M16" s="78">
        <v>1</v>
      </c>
      <c r="N16" s="78">
        <v>1</v>
      </c>
      <c r="O16" s="78">
        <v>1</v>
      </c>
      <c r="P16" s="78">
        <v>1</v>
      </c>
      <c r="Q16" s="78">
        <v>1</v>
      </c>
      <c r="R16" s="118"/>
      <c r="S16" s="124"/>
      <c r="T16" s="12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9"/>
      <c r="AF16" s="132">
        <v>1</v>
      </c>
      <c r="AG16" s="79">
        <v>1</v>
      </c>
      <c r="AH16" s="79">
        <v>1</v>
      </c>
      <c r="AI16" s="79">
        <v>1</v>
      </c>
      <c r="AJ16" s="79">
        <v>1</v>
      </c>
      <c r="AK16" s="79">
        <v>1</v>
      </c>
      <c r="AL16" s="79">
        <v>1</v>
      </c>
      <c r="AM16" s="79">
        <v>1</v>
      </c>
      <c r="AN16" s="79">
        <v>1</v>
      </c>
      <c r="AO16" s="79">
        <v>1</v>
      </c>
      <c r="AP16" s="79">
        <v>1</v>
      </c>
      <c r="AQ16" s="80">
        <v>1</v>
      </c>
      <c r="AR16" s="118"/>
      <c r="AS16" s="132">
        <v>1</v>
      </c>
      <c r="AT16" s="79">
        <v>1</v>
      </c>
      <c r="AU16" s="79">
        <v>1</v>
      </c>
      <c r="AV16" s="79">
        <v>1</v>
      </c>
      <c r="AW16" s="79">
        <v>1</v>
      </c>
      <c r="AX16" s="79">
        <v>1</v>
      </c>
      <c r="AY16" s="79">
        <v>1</v>
      </c>
      <c r="AZ16" s="79">
        <v>1</v>
      </c>
      <c r="BA16" s="79">
        <v>1</v>
      </c>
      <c r="BB16" s="79">
        <v>1</v>
      </c>
      <c r="BC16" s="79">
        <v>1</v>
      </c>
      <c r="BD16" s="80">
        <v>1</v>
      </c>
      <c r="BE16" s="118"/>
      <c r="BF16" s="133"/>
    </row>
    <row r="17" spans="1:58" s="77" customFormat="1" ht="11.25" x14ac:dyDescent="0.2">
      <c r="B17" s="107" t="s">
        <v>81</v>
      </c>
      <c r="C17" s="97"/>
      <c r="D17" s="98"/>
      <c r="E17" s="99"/>
      <c r="F17" s="169">
        <v>0.03</v>
      </c>
      <c r="G17" s="169">
        <v>0.03</v>
      </c>
      <c r="H17" s="169">
        <v>0.03</v>
      </c>
      <c r="I17" s="169">
        <v>0.03</v>
      </c>
      <c r="J17" s="169">
        <v>0.03</v>
      </c>
      <c r="K17" s="169">
        <v>0.05</v>
      </c>
      <c r="L17" s="169">
        <v>0.05</v>
      </c>
      <c r="M17" s="169">
        <v>0.05</v>
      </c>
      <c r="N17" s="169">
        <v>0.05</v>
      </c>
      <c r="O17" s="169">
        <v>0.05</v>
      </c>
      <c r="P17" s="169">
        <v>0.05</v>
      </c>
      <c r="Q17" s="169">
        <v>0.05</v>
      </c>
      <c r="R17" s="118"/>
      <c r="S17" s="124"/>
      <c r="T17" s="12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9"/>
      <c r="AF17" s="169">
        <v>0.03</v>
      </c>
      <c r="AG17" s="169">
        <v>0.03</v>
      </c>
      <c r="AH17" s="169">
        <v>0.03</v>
      </c>
      <c r="AI17" s="169">
        <v>0.03</v>
      </c>
      <c r="AJ17" s="169">
        <v>0.03</v>
      </c>
      <c r="AK17" s="169">
        <v>0.05</v>
      </c>
      <c r="AL17" s="169">
        <v>0.05</v>
      </c>
      <c r="AM17" s="169">
        <v>0.05</v>
      </c>
      <c r="AN17" s="169">
        <v>0.05</v>
      </c>
      <c r="AO17" s="169">
        <v>0.05</v>
      </c>
      <c r="AP17" s="169">
        <v>0.05</v>
      </c>
      <c r="AQ17" s="169">
        <v>0.05</v>
      </c>
      <c r="AR17" s="118"/>
      <c r="AS17" s="169">
        <v>0.03</v>
      </c>
      <c r="AT17" s="169">
        <v>0.03</v>
      </c>
      <c r="AU17" s="169">
        <v>0.03</v>
      </c>
      <c r="AV17" s="169">
        <v>0.03</v>
      </c>
      <c r="AW17" s="169">
        <v>0.03</v>
      </c>
      <c r="AX17" s="169">
        <v>0.05</v>
      </c>
      <c r="AY17" s="169">
        <v>0.05</v>
      </c>
      <c r="AZ17" s="169">
        <v>0.05</v>
      </c>
      <c r="BA17" s="169">
        <v>0.05</v>
      </c>
      <c r="BB17" s="169">
        <v>0.05</v>
      </c>
      <c r="BC17" s="169">
        <v>0.05</v>
      </c>
      <c r="BD17" s="169">
        <v>0.05</v>
      </c>
      <c r="BE17" s="118"/>
      <c r="BF17" s="168"/>
    </row>
    <row r="18" spans="1:58" s="82" customFormat="1" ht="12.75" thickBot="1" x14ac:dyDescent="0.25">
      <c r="B18" s="108" t="s">
        <v>56</v>
      </c>
      <c r="C18" s="100">
        <f>SUM(C4:C14)</f>
        <v>33330000</v>
      </c>
      <c r="D18" s="101">
        <f>SUM(D4:D14)</f>
        <v>2777500.0000000005</v>
      </c>
      <c r="E18" s="102"/>
      <c r="F18" s="170">
        <f>(+F15*F16)*(1-F17)</f>
        <v>2720547.0038909814</v>
      </c>
      <c r="G18" s="170">
        <f>(+G15*G16)*(1-G17)</f>
        <v>2747182.9013593285</v>
      </c>
      <c r="H18" s="170">
        <f t="shared" ref="H18:Q18" si="25">(+H15*H16)*(1-H17)</f>
        <v>2774085.388642062</v>
      </c>
      <c r="I18" s="170">
        <f t="shared" si="25"/>
        <v>2801257.1900565508</v>
      </c>
      <c r="J18" s="170">
        <f t="shared" si="25"/>
        <v>2828701.0582980332</v>
      </c>
      <c r="K18" s="170">
        <f t="shared" si="25"/>
        <v>2797524.5216528988</v>
      </c>
      <c r="L18" s="170">
        <f t="shared" si="25"/>
        <v>2824943.6518070088</v>
      </c>
      <c r="M18" s="170">
        <f t="shared" si="25"/>
        <v>2852637.4966962845</v>
      </c>
      <c r="N18" s="170">
        <f t="shared" si="25"/>
        <v>2880608.8664074023</v>
      </c>
      <c r="O18" s="170">
        <f t="shared" si="25"/>
        <v>2908860.6003244044</v>
      </c>
      <c r="P18" s="170">
        <f t="shared" si="25"/>
        <v>2937395.5674394108</v>
      </c>
      <c r="Q18" s="170">
        <f t="shared" si="25"/>
        <v>2966216.6666666684</v>
      </c>
      <c r="R18" s="119">
        <f>SUM(F18:Q18)</f>
        <v>34039960.913241036</v>
      </c>
      <c r="S18" s="125"/>
      <c r="T18" s="129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1"/>
      <c r="AF18" s="170">
        <f>(+AF15*AF16)*(1-AF17)</f>
        <v>1445878.7705183765</v>
      </c>
      <c r="AG18" s="170">
        <f t="shared" ref="AG18:AQ18" si="26">(+AG15*AG16)*(1-AG17)</f>
        <v>1459685.6713302201</v>
      </c>
      <c r="AH18" s="170">
        <f t="shared" si="26"/>
        <v>1473627.0237205969</v>
      </c>
      <c r="AI18" s="170">
        <f t="shared" si="26"/>
        <v>1487704.1623312589</v>
      </c>
      <c r="AJ18" s="170">
        <f t="shared" si="26"/>
        <v>1501918.4352980135</v>
      </c>
      <c r="AK18" s="170">
        <f t="shared" si="26"/>
        <v>1485007.8805876875</v>
      </c>
      <c r="AL18" s="170">
        <f t="shared" si="26"/>
        <v>1499201.704010549</v>
      </c>
      <c r="AM18" s="170">
        <f t="shared" si="26"/>
        <v>1513533.8759561321</v>
      </c>
      <c r="AN18" s="170">
        <f t="shared" si="26"/>
        <v>1528005.7710006812</v>
      </c>
      <c r="AO18" s="170">
        <f t="shared" si="26"/>
        <v>1542618.7776303564</v>
      </c>
      <c r="AP18" s="170">
        <f t="shared" si="26"/>
        <v>1557374.2983844329</v>
      </c>
      <c r="AQ18" s="170">
        <f t="shared" si="26"/>
        <v>1572273.7500000009</v>
      </c>
      <c r="AR18" s="119">
        <f>SUM(AF18:AQ18)</f>
        <v>18066830.120768309</v>
      </c>
      <c r="AS18" s="170">
        <f>(+AS15*AS16)*(1-AS17)</f>
        <v>1274668.2333726059</v>
      </c>
      <c r="AT18" s="170">
        <f t="shared" ref="AT18" si="27">(+AT15*AT16)*(1-AT17)</f>
        <v>1287497.2300291087</v>
      </c>
      <c r="AU18" s="170">
        <f t="shared" ref="AU18" si="28">(+AU15*AU16)*(1-AU17)</f>
        <v>1300458.3649214644</v>
      </c>
      <c r="AV18" s="170">
        <f t="shared" ref="AV18" si="29">(+AV15*AV16)*(1-AV17)</f>
        <v>1313553.0277252921</v>
      </c>
      <c r="AW18" s="170">
        <f t="shared" ref="AW18" si="30">(+AW15*AW16)*(1-AW17)</f>
        <v>1326782.6230000202</v>
      </c>
      <c r="AX18" s="170">
        <f t="shared" ref="AX18" si="31">(+AX15*AX16)*(1-AX17)</f>
        <v>1312516.6410652108</v>
      </c>
      <c r="AY18" s="170">
        <f t="shared" ref="AY18" si="32">(+AY15*AY16)*(1-AY17)</f>
        <v>1325741.9477964595</v>
      </c>
      <c r="AZ18" s="170">
        <f t="shared" ref="AZ18" si="33">(+AZ15*AZ16)*(1-AZ17)</f>
        <v>1339103.6207401531</v>
      </c>
      <c r="BA18" s="170">
        <f t="shared" ref="BA18" si="34">(+BA15*BA16)*(1-BA17)</f>
        <v>1352603.0954067216</v>
      </c>
      <c r="BB18" s="170">
        <f t="shared" ref="BB18" si="35">(+BB15*BB16)*(1-BB17)</f>
        <v>1366241.8226940483</v>
      </c>
      <c r="BC18" s="170">
        <f t="shared" ref="BC18" si="36">(+BC15*BC16)*(1-BC17)</f>
        <v>1380021.2690549779</v>
      </c>
      <c r="BD18" s="170">
        <f t="shared" ref="BD18" si="37">(+BD15*BD16)*(1-BD17)</f>
        <v>1393942.9166666679</v>
      </c>
      <c r="BE18" s="119">
        <f>SUM(AS18:BD18)</f>
        <v>15973130.792472731</v>
      </c>
      <c r="BF18" s="81">
        <f>+R18/C18-1</f>
        <v>2.1300957492980332E-2</v>
      </c>
    </row>
    <row r="20" spans="1:58" ht="15.75" thickBot="1" x14ac:dyDescent="0.3"/>
    <row r="21" spans="1:58" ht="16.5" x14ac:dyDescent="0.25">
      <c r="A21" s="64"/>
      <c r="B21" s="103" t="s">
        <v>23</v>
      </c>
      <c r="C21" s="223" t="s">
        <v>57</v>
      </c>
      <c r="D21" s="224"/>
      <c r="E21" s="225"/>
      <c r="F21" s="109"/>
      <c r="G21" s="110"/>
      <c r="H21" s="110"/>
      <c r="I21" s="110"/>
      <c r="J21" s="110"/>
      <c r="K21" s="110"/>
      <c r="L21" s="110" t="s">
        <v>75</v>
      </c>
      <c r="M21" s="110"/>
      <c r="N21" s="110"/>
      <c r="O21" s="110"/>
      <c r="P21" s="110"/>
      <c r="Q21" s="110"/>
      <c r="R21" s="111"/>
      <c r="S21" s="120" t="s">
        <v>71</v>
      </c>
      <c r="T21" s="223" t="s">
        <v>28</v>
      </c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5"/>
      <c r="AF21" s="223" t="s">
        <v>73</v>
      </c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87"/>
      <c r="AS21" s="223" t="s">
        <v>74</v>
      </c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5"/>
      <c r="BF21" s="63"/>
    </row>
    <row r="22" spans="1:58" ht="26.25" thickBot="1" x14ac:dyDescent="0.35">
      <c r="A22" s="68"/>
      <c r="B22" s="104" t="s">
        <v>72</v>
      </c>
      <c r="C22" s="88" t="s">
        <v>140</v>
      </c>
      <c r="D22" s="66" t="s">
        <v>38</v>
      </c>
      <c r="E22" s="89" t="s">
        <v>39</v>
      </c>
      <c r="F22" s="88" t="s">
        <v>40</v>
      </c>
      <c r="G22" s="65" t="s">
        <v>41</v>
      </c>
      <c r="H22" s="65" t="s">
        <v>42</v>
      </c>
      <c r="I22" s="65" t="s">
        <v>43</v>
      </c>
      <c r="J22" s="65" t="s">
        <v>44</v>
      </c>
      <c r="K22" s="65" t="s">
        <v>45</v>
      </c>
      <c r="L22" s="65" t="s">
        <v>46</v>
      </c>
      <c r="M22" s="65" t="s">
        <v>47</v>
      </c>
      <c r="N22" s="65" t="s">
        <v>48</v>
      </c>
      <c r="O22" s="65" t="s">
        <v>49</v>
      </c>
      <c r="P22" s="65" t="s">
        <v>50</v>
      </c>
      <c r="Q22" s="65" t="s">
        <v>51</v>
      </c>
      <c r="R22" s="89" t="s">
        <v>52</v>
      </c>
      <c r="S22" s="104" t="s">
        <v>53</v>
      </c>
      <c r="T22" s="88" t="s">
        <v>40</v>
      </c>
      <c r="U22" s="65" t="s">
        <v>41</v>
      </c>
      <c r="V22" s="65" t="s">
        <v>42</v>
      </c>
      <c r="W22" s="65" t="s">
        <v>43</v>
      </c>
      <c r="X22" s="65" t="s">
        <v>44</v>
      </c>
      <c r="Y22" s="65" t="s">
        <v>45</v>
      </c>
      <c r="Z22" s="65" t="s">
        <v>46</v>
      </c>
      <c r="AA22" s="65" t="s">
        <v>47</v>
      </c>
      <c r="AB22" s="65" t="s">
        <v>48</v>
      </c>
      <c r="AC22" s="65" t="s">
        <v>49</v>
      </c>
      <c r="AD22" s="65" t="s">
        <v>50</v>
      </c>
      <c r="AE22" s="89" t="s">
        <v>51</v>
      </c>
      <c r="AF22" s="88" t="s">
        <v>40</v>
      </c>
      <c r="AG22" s="65" t="s">
        <v>41</v>
      </c>
      <c r="AH22" s="65" t="s">
        <v>42</v>
      </c>
      <c r="AI22" s="65" t="s">
        <v>43</v>
      </c>
      <c r="AJ22" s="65" t="s">
        <v>44</v>
      </c>
      <c r="AK22" s="65" t="s">
        <v>45</v>
      </c>
      <c r="AL22" s="65" t="s">
        <v>46</v>
      </c>
      <c r="AM22" s="65" t="s">
        <v>47</v>
      </c>
      <c r="AN22" s="65" t="s">
        <v>48</v>
      </c>
      <c r="AO22" s="65" t="s">
        <v>49</v>
      </c>
      <c r="AP22" s="65" t="s">
        <v>50</v>
      </c>
      <c r="AQ22" s="65" t="s">
        <v>51</v>
      </c>
      <c r="AR22" s="89" t="s">
        <v>52</v>
      </c>
      <c r="AS22" s="88" t="s">
        <v>40</v>
      </c>
      <c r="AT22" s="65" t="s">
        <v>41</v>
      </c>
      <c r="AU22" s="65" t="s">
        <v>42</v>
      </c>
      <c r="AV22" s="65" t="s">
        <v>43</v>
      </c>
      <c r="AW22" s="65" t="s">
        <v>44</v>
      </c>
      <c r="AX22" s="65" t="s">
        <v>45</v>
      </c>
      <c r="AY22" s="65" t="s">
        <v>46</v>
      </c>
      <c r="AZ22" s="65" t="s">
        <v>47</v>
      </c>
      <c r="BA22" s="65" t="s">
        <v>48</v>
      </c>
      <c r="BB22" s="65" t="s">
        <v>49</v>
      </c>
      <c r="BC22" s="65" t="s">
        <v>50</v>
      </c>
      <c r="BD22" s="65" t="s">
        <v>51</v>
      </c>
      <c r="BE22" s="89" t="s">
        <v>52</v>
      </c>
      <c r="BF22" s="67" t="s">
        <v>54</v>
      </c>
    </row>
    <row r="23" spans="1:58" x14ac:dyDescent="0.25">
      <c r="A23" s="69"/>
      <c r="B23" s="105" t="s">
        <v>23</v>
      </c>
      <c r="C23" s="90"/>
      <c r="D23" s="91"/>
      <c r="E23" s="92"/>
      <c r="F23" s="11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2"/>
      <c r="S23" s="121"/>
      <c r="T23" s="90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2"/>
      <c r="AF23" s="112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2"/>
      <c r="AS23" s="112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2"/>
      <c r="BF23" s="70"/>
    </row>
    <row r="24" spans="1:58" x14ac:dyDescent="0.25">
      <c r="B24" s="106" t="s">
        <v>58</v>
      </c>
      <c r="C24" s="93">
        <v>4500000</v>
      </c>
      <c r="D24" s="71">
        <f>C24/12</f>
        <v>375000</v>
      </c>
      <c r="E24" s="94">
        <v>0</v>
      </c>
      <c r="F24" s="113"/>
      <c r="G24" s="114"/>
      <c r="H24" s="114"/>
      <c r="I24" s="114"/>
      <c r="J24" s="114"/>
      <c r="K24" s="114"/>
      <c r="L24" s="114">
        <f>D24</f>
        <v>375000</v>
      </c>
      <c r="M24" s="114">
        <f t="shared" ref="M24:Q24" si="38">L24</f>
        <v>375000</v>
      </c>
      <c r="N24" s="114">
        <f t="shared" si="38"/>
        <v>375000</v>
      </c>
      <c r="O24" s="114">
        <f t="shared" si="38"/>
        <v>375000</v>
      </c>
      <c r="P24" s="114">
        <f t="shared" si="38"/>
        <v>375000</v>
      </c>
      <c r="Q24" s="114">
        <f t="shared" si="38"/>
        <v>375000</v>
      </c>
      <c r="R24" s="115">
        <f t="shared" ref="R24:R33" si="39">SUM(F24:Q24)</f>
        <v>2250000</v>
      </c>
      <c r="S24" s="122">
        <v>0</v>
      </c>
      <c r="T24" s="72">
        <v>0.55000000000000004</v>
      </c>
      <c r="U24" s="72">
        <v>0.55000000000000004</v>
      </c>
      <c r="V24" s="72">
        <v>0.55000000000000004</v>
      </c>
      <c r="W24" s="72">
        <v>0.55000000000000004</v>
      </c>
      <c r="X24" s="72">
        <v>0.55000000000000004</v>
      </c>
      <c r="Y24" s="72">
        <v>0.55000000000000004</v>
      </c>
      <c r="Z24" s="72">
        <v>0.55000000000000004</v>
      </c>
      <c r="AA24" s="72">
        <v>0.55000000000000004</v>
      </c>
      <c r="AB24" s="72">
        <v>0.55000000000000004</v>
      </c>
      <c r="AC24" s="72">
        <v>0.55000000000000004</v>
      </c>
      <c r="AD24" s="72">
        <v>0.55000000000000004</v>
      </c>
      <c r="AE24" s="72">
        <v>0.55000000000000004</v>
      </c>
      <c r="AF24" s="113">
        <f>+F24*T24</f>
        <v>0</v>
      </c>
      <c r="AG24" s="114">
        <f t="shared" ref="AG24:AG33" si="40">+G24*U24</f>
        <v>0</v>
      </c>
      <c r="AH24" s="114">
        <f t="shared" ref="AH24:AH33" si="41">+H24*V24</f>
        <v>0</v>
      </c>
      <c r="AI24" s="114">
        <f t="shared" ref="AI24:AI33" si="42">+I24*W24</f>
        <v>0</v>
      </c>
      <c r="AJ24" s="114">
        <f t="shared" ref="AJ24:AJ33" si="43">+J24*X24</f>
        <v>0</v>
      </c>
      <c r="AK24" s="114">
        <f t="shared" ref="AK24:AK33" si="44">+K24*Y24</f>
        <v>0</v>
      </c>
      <c r="AL24" s="114">
        <f t="shared" ref="AL24:AL33" si="45">+L24*Z24</f>
        <v>206250.00000000003</v>
      </c>
      <c r="AM24" s="114">
        <f t="shared" ref="AM24:AM33" si="46">+M24*AA24</f>
        <v>206250.00000000003</v>
      </c>
      <c r="AN24" s="114">
        <f t="shared" ref="AN24:AN33" si="47">+N24*AB24</f>
        <v>206250.00000000003</v>
      </c>
      <c r="AO24" s="114">
        <f t="shared" ref="AO24:AO33" si="48">+O24*AC24</f>
        <v>206250.00000000003</v>
      </c>
      <c r="AP24" s="114">
        <f t="shared" ref="AP24:AP33" si="49">+P24*AD24</f>
        <v>206250.00000000003</v>
      </c>
      <c r="AQ24" s="114">
        <f t="shared" ref="AQ24:AQ33" si="50">+Q24*AE24</f>
        <v>206250.00000000003</v>
      </c>
      <c r="AR24" s="115">
        <f t="shared" ref="AR24:AR33" si="51">SUM(AF24:AQ24)</f>
        <v>1237500.0000000002</v>
      </c>
      <c r="AS24" s="113">
        <f>+F24-AF24</f>
        <v>0</v>
      </c>
      <c r="AT24" s="114">
        <f t="shared" ref="AT24:AT33" si="52">+G24-AG24</f>
        <v>0</v>
      </c>
      <c r="AU24" s="114">
        <f t="shared" ref="AU24:AU33" si="53">+H24-AH24</f>
        <v>0</v>
      </c>
      <c r="AV24" s="114">
        <f t="shared" ref="AV24:AV33" si="54">+I24-AI24</f>
        <v>0</v>
      </c>
      <c r="AW24" s="114">
        <f t="shared" ref="AW24:AW33" si="55">+J24-AJ24</f>
        <v>0</v>
      </c>
      <c r="AX24" s="114">
        <f t="shared" ref="AX24:AX33" si="56">+K24-AK24</f>
        <v>0</v>
      </c>
      <c r="AY24" s="114">
        <f t="shared" ref="AY24:AY33" si="57">+L24-AL24</f>
        <v>168749.99999999997</v>
      </c>
      <c r="AZ24" s="114">
        <f t="shared" ref="AZ24:AZ33" si="58">+M24-AM24</f>
        <v>168749.99999999997</v>
      </c>
      <c r="BA24" s="114">
        <f t="shared" ref="BA24:BA33" si="59">+N24-AN24</f>
        <v>168749.99999999997</v>
      </c>
      <c r="BB24" s="114">
        <f t="shared" ref="BB24:BB33" si="60">+O24-AO24</f>
        <v>168749.99999999997</v>
      </c>
      <c r="BC24" s="114">
        <f t="shared" ref="BC24:BC33" si="61">+P24-AP24</f>
        <v>168749.99999999997</v>
      </c>
      <c r="BD24" s="114">
        <f t="shared" ref="BD24:BD33" si="62">+Q24-AQ24</f>
        <v>168749.99999999997</v>
      </c>
      <c r="BE24" s="115">
        <f t="shared" ref="BE24:BE33" si="63">SUM(AS24:BD24)</f>
        <v>1012499.9999999999</v>
      </c>
      <c r="BF24" s="73"/>
    </row>
    <row r="25" spans="1:58" x14ac:dyDescent="0.25">
      <c r="B25" s="106" t="s">
        <v>59</v>
      </c>
      <c r="C25" s="93">
        <v>4000000</v>
      </c>
      <c r="D25" s="71">
        <f t="shared" ref="D25:D33" si="64">C25/12</f>
        <v>333333.33333333331</v>
      </c>
      <c r="E25" s="94">
        <v>0</v>
      </c>
      <c r="F25" s="113"/>
      <c r="G25" s="114"/>
      <c r="H25" s="114"/>
      <c r="I25" s="114"/>
      <c r="J25" s="114"/>
      <c r="K25" s="114"/>
      <c r="L25" s="114"/>
      <c r="M25" s="114">
        <f>D25</f>
        <v>333333.33333333331</v>
      </c>
      <c r="N25" s="114">
        <f t="shared" ref="J25:Q33" si="65">M25</f>
        <v>333333.33333333331</v>
      </c>
      <c r="O25" s="114">
        <f t="shared" si="65"/>
        <v>333333.33333333331</v>
      </c>
      <c r="P25" s="114">
        <f t="shared" si="65"/>
        <v>333333.33333333331</v>
      </c>
      <c r="Q25" s="114">
        <f t="shared" si="65"/>
        <v>333333.33333333331</v>
      </c>
      <c r="R25" s="115">
        <f t="shared" si="39"/>
        <v>1666666.6666666665</v>
      </c>
      <c r="S25" s="122">
        <f t="shared" ref="S25:S33" si="66">+(1 + E25)^(1/12) - 1</f>
        <v>0</v>
      </c>
      <c r="T25" s="72">
        <v>0.55000000000000004</v>
      </c>
      <c r="U25" s="72">
        <v>0.55000000000000004</v>
      </c>
      <c r="V25" s="72">
        <v>0.55000000000000004</v>
      </c>
      <c r="W25" s="72">
        <v>0.55000000000000004</v>
      </c>
      <c r="X25" s="72">
        <v>0.55000000000000004</v>
      </c>
      <c r="Y25" s="72">
        <v>0.55000000000000004</v>
      </c>
      <c r="Z25" s="72">
        <v>0.55000000000000004</v>
      </c>
      <c r="AA25" s="72">
        <v>0.55000000000000004</v>
      </c>
      <c r="AB25" s="72">
        <v>0.55000000000000004</v>
      </c>
      <c r="AC25" s="72">
        <v>0.55000000000000004</v>
      </c>
      <c r="AD25" s="72">
        <v>0.55000000000000004</v>
      </c>
      <c r="AE25" s="72">
        <v>0.55000000000000004</v>
      </c>
      <c r="AF25" s="113">
        <f t="shared" ref="AF25:AF33" si="67">+F25*T25</f>
        <v>0</v>
      </c>
      <c r="AG25" s="114">
        <f t="shared" si="40"/>
        <v>0</v>
      </c>
      <c r="AH25" s="114">
        <f t="shared" si="41"/>
        <v>0</v>
      </c>
      <c r="AI25" s="114">
        <f t="shared" si="42"/>
        <v>0</v>
      </c>
      <c r="AJ25" s="114">
        <f t="shared" si="43"/>
        <v>0</v>
      </c>
      <c r="AK25" s="114">
        <f t="shared" si="44"/>
        <v>0</v>
      </c>
      <c r="AL25" s="114">
        <f t="shared" si="45"/>
        <v>0</v>
      </c>
      <c r="AM25" s="114">
        <f t="shared" si="46"/>
        <v>183333.33333333334</v>
      </c>
      <c r="AN25" s="114">
        <f t="shared" si="47"/>
        <v>183333.33333333334</v>
      </c>
      <c r="AO25" s="114">
        <f t="shared" si="48"/>
        <v>183333.33333333334</v>
      </c>
      <c r="AP25" s="114">
        <f t="shared" si="49"/>
        <v>183333.33333333334</v>
      </c>
      <c r="AQ25" s="114">
        <f t="shared" si="50"/>
        <v>183333.33333333334</v>
      </c>
      <c r="AR25" s="115">
        <f t="shared" si="51"/>
        <v>916666.66666666674</v>
      </c>
      <c r="AS25" s="113">
        <f t="shared" ref="AS25:AS33" si="68">+F25-AF25</f>
        <v>0</v>
      </c>
      <c r="AT25" s="114">
        <f t="shared" si="52"/>
        <v>0</v>
      </c>
      <c r="AU25" s="114">
        <f t="shared" si="53"/>
        <v>0</v>
      </c>
      <c r="AV25" s="114">
        <f t="shared" si="54"/>
        <v>0</v>
      </c>
      <c r="AW25" s="114">
        <f t="shared" si="55"/>
        <v>0</v>
      </c>
      <c r="AX25" s="114">
        <f t="shared" si="56"/>
        <v>0</v>
      </c>
      <c r="AY25" s="114">
        <f t="shared" si="57"/>
        <v>0</v>
      </c>
      <c r="AZ25" s="114">
        <f t="shared" si="58"/>
        <v>149999.99999999997</v>
      </c>
      <c r="BA25" s="114">
        <f t="shared" si="59"/>
        <v>149999.99999999997</v>
      </c>
      <c r="BB25" s="114">
        <f t="shared" si="60"/>
        <v>149999.99999999997</v>
      </c>
      <c r="BC25" s="114">
        <f t="shared" si="61"/>
        <v>149999.99999999997</v>
      </c>
      <c r="BD25" s="114">
        <f t="shared" si="62"/>
        <v>149999.99999999997</v>
      </c>
      <c r="BE25" s="115">
        <f t="shared" si="63"/>
        <v>749999.99999999988</v>
      </c>
      <c r="BF25" s="73"/>
    </row>
    <row r="26" spans="1:58" x14ac:dyDescent="0.25">
      <c r="B26" s="106" t="s">
        <v>60</v>
      </c>
      <c r="C26" s="93">
        <v>2100000</v>
      </c>
      <c r="D26" s="71">
        <f t="shared" si="64"/>
        <v>175000</v>
      </c>
      <c r="E26" s="94">
        <v>0</v>
      </c>
      <c r="F26" s="113"/>
      <c r="G26" s="114"/>
      <c r="H26" s="114"/>
      <c r="I26" s="114">
        <f>D26</f>
        <v>175000</v>
      </c>
      <c r="J26" s="114">
        <f t="shared" si="65"/>
        <v>175000</v>
      </c>
      <c r="K26" s="114">
        <f t="shared" si="65"/>
        <v>175000</v>
      </c>
      <c r="L26" s="114">
        <f t="shared" si="65"/>
        <v>175000</v>
      </c>
      <c r="M26" s="114">
        <f t="shared" si="65"/>
        <v>175000</v>
      </c>
      <c r="N26" s="114">
        <f t="shared" si="65"/>
        <v>175000</v>
      </c>
      <c r="O26" s="114">
        <f t="shared" si="65"/>
        <v>175000</v>
      </c>
      <c r="P26" s="114">
        <f t="shared" si="65"/>
        <v>175000</v>
      </c>
      <c r="Q26" s="114">
        <f t="shared" si="65"/>
        <v>175000</v>
      </c>
      <c r="R26" s="115">
        <f t="shared" si="39"/>
        <v>1575000</v>
      </c>
      <c r="S26" s="122">
        <f t="shared" si="66"/>
        <v>0</v>
      </c>
      <c r="T26" s="72">
        <v>0.55000000000000004</v>
      </c>
      <c r="U26" s="72">
        <v>0.55000000000000004</v>
      </c>
      <c r="V26" s="72">
        <v>0.55000000000000004</v>
      </c>
      <c r="W26" s="72">
        <v>0.55000000000000004</v>
      </c>
      <c r="X26" s="72">
        <v>0.55000000000000004</v>
      </c>
      <c r="Y26" s="72">
        <v>0.55000000000000004</v>
      </c>
      <c r="Z26" s="72">
        <v>0.55000000000000004</v>
      </c>
      <c r="AA26" s="72">
        <v>0.55000000000000004</v>
      </c>
      <c r="AB26" s="72">
        <v>0.55000000000000004</v>
      </c>
      <c r="AC26" s="72">
        <v>0.55000000000000004</v>
      </c>
      <c r="AD26" s="72">
        <v>0.55000000000000004</v>
      </c>
      <c r="AE26" s="72">
        <v>0.55000000000000004</v>
      </c>
      <c r="AF26" s="113">
        <f t="shared" si="67"/>
        <v>0</v>
      </c>
      <c r="AG26" s="114">
        <f t="shared" si="40"/>
        <v>0</v>
      </c>
      <c r="AH26" s="114">
        <f t="shared" si="41"/>
        <v>0</v>
      </c>
      <c r="AI26" s="114">
        <f t="shared" si="42"/>
        <v>96250.000000000015</v>
      </c>
      <c r="AJ26" s="114">
        <f t="shared" si="43"/>
        <v>96250.000000000015</v>
      </c>
      <c r="AK26" s="114">
        <f t="shared" si="44"/>
        <v>96250.000000000015</v>
      </c>
      <c r="AL26" s="114">
        <f t="shared" si="45"/>
        <v>96250.000000000015</v>
      </c>
      <c r="AM26" s="114">
        <f t="shared" si="46"/>
        <v>96250.000000000015</v>
      </c>
      <c r="AN26" s="114">
        <f t="shared" si="47"/>
        <v>96250.000000000015</v>
      </c>
      <c r="AO26" s="114">
        <f t="shared" si="48"/>
        <v>96250.000000000015</v>
      </c>
      <c r="AP26" s="114">
        <f t="shared" si="49"/>
        <v>96250.000000000015</v>
      </c>
      <c r="AQ26" s="114">
        <f t="shared" si="50"/>
        <v>96250.000000000015</v>
      </c>
      <c r="AR26" s="115">
        <f t="shared" si="51"/>
        <v>866250.00000000012</v>
      </c>
      <c r="AS26" s="113">
        <f t="shared" si="68"/>
        <v>0</v>
      </c>
      <c r="AT26" s="114">
        <f t="shared" si="52"/>
        <v>0</v>
      </c>
      <c r="AU26" s="114">
        <f t="shared" si="53"/>
        <v>0</v>
      </c>
      <c r="AV26" s="114">
        <f>+I26-AI26</f>
        <v>78749.999999999985</v>
      </c>
      <c r="AW26" s="114">
        <f t="shared" si="55"/>
        <v>78749.999999999985</v>
      </c>
      <c r="AX26" s="114">
        <f t="shared" si="56"/>
        <v>78749.999999999985</v>
      </c>
      <c r="AY26" s="114">
        <f t="shared" si="57"/>
        <v>78749.999999999985</v>
      </c>
      <c r="AZ26" s="114">
        <f t="shared" si="58"/>
        <v>78749.999999999985</v>
      </c>
      <c r="BA26" s="114">
        <f t="shared" si="59"/>
        <v>78749.999999999985</v>
      </c>
      <c r="BB26" s="114">
        <f t="shared" si="60"/>
        <v>78749.999999999985</v>
      </c>
      <c r="BC26" s="114">
        <f t="shared" si="61"/>
        <v>78749.999999999985</v>
      </c>
      <c r="BD26" s="114">
        <f t="shared" si="62"/>
        <v>78749.999999999985</v>
      </c>
      <c r="BE26" s="115">
        <f t="shared" si="63"/>
        <v>708749.99999999988</v>
      </c>
      <c r="BF26" s="73"/>
    </row>
    <row r="27" spans="1:58" x14ac:dyDescent="0.25">
      <c r="B27" s="106" t="s">
        <v>61</v>
      </c>
      <c r="C27" s="93">
        <v>850000</v>
      </c>
      <c r="D27" s="71">
        <f t="shared" si="64"/>
        <v>70833.333333333328</v>
      </c>
      <c r="E27" s="94">
        <v>0</v>
      </c>
      <c r="F27" s="113"/>
      <c r="G27" s="114"/>
      <c r="H27" s="114"/>
      <c r="I27" s="114">
        <f>D27</f>
        <v>70833.333333333328</v>
      </c>
      <c r="J27" s="114">
        <f t="shared" si="65"/>
        <v>70833.333333333328</v>
      </c>
      <c r="K27" s="114">
        <f t="shared" si="65"/>
        <v>70833.333333333328</v>
      </c>
      <c r="L27" s="114">
        <f t="shared" si="65"/>
        <v>70833.333333333328</v>
      </c>
      <c r="M27" s="114">
        <f t="shared" si="65"/>
        <v>70833.333333333328</v>
      </c>
      <c r="N27" s="114">
        <f t="shared" si="65"/>
        <v>70833.333333333328</v>
      </c>
      <c r="O27" s="114">
        <f t="shared" si="65"/>
        <v>70833.333333333328</v>
      </c>
      <c r="P27" s="114">
        <f t="shared" si="65"/>
        <v>70833.333333333328</v>
      </c>
      <c r="Q27" s="114">
        <f t="shared" si="65"/>
        <v>70833.333333333328</v>
      </c>
      <c r="R27" s="115">
        <f t="shared" si="39"/>
        <v>637500</v>
      </c>
      <c r="S27" s="122">
        <f t="shared" si="66"/>
        <v>0</v>
      </c>
      <c r="T27" s="72">
        <v>0.55000000000000004</v>
      </c>
      <c r="U27" s="72">
        <v>0.55000000000000004</v>
      </c>
      <c r="V27" s="72">
        <v>0.55000000000000004</v>
      </c>
      <c r="W27" s="72">
        <v>0.55000000000000004</v>
      </c>
      <c r="X27" s="72">
        <v>0.55000000000000004</v>
      </c>
      <c r="Y27" s="72">
        <v>0.55000000000000004</v>
      </c>
      <c r="Z27" s="72">
        <v>0.55000000000000004</v>
      </c>
      <c r="AA27" s="72">
        <v>0.55000000000000004</v>
      </c>
      <c r="AB27" s="72">
        <v>0.55000000000000004</v>
      </c>
      <c r="AC27" s="72">
        <v>0.55000000000000004</v>
      </c>
      <c r="AD27" s="72">
        <v>0.55000000000000004</v>
      </c>
      <c r="AE27" s="72">
        <v>0.55000000000000004</v>
      </c>
      <c r="AF27" s="113">
        <f t="shared" si="67"/>
        <v>0</v>
      </c>
      <c r="AG27" s="114">
        <f t="shared" si="40"/>
        <v>0</v>
      </c>
      <c r="AH27" s="114">
        <f t="shared" si="41"/>
        <v>0</v>
      </c>
      <c r="AI27" s="114">
        <f t="shared" si="42"/>
        <v>38958.333333333336</v>
      </c>
      <c r="AJ27" s="114">
        <f t="shared" si="43"/>
        <v>38958.333333333336</v>
      </c>
      <c r="AK27" s="114">
        <f t="shared" si="44"/>
        <v>38958.333333333336</v>
      </c>
      <c r="AL27" s="114">
        <f t="shared" si="45"/>
        <v>38958.333333333336</v>
      </c>
      <c r="AM27" s="114">
        <f t="shared" si="46"/>
        <v>38958.333333333336</v>
      </c>
      <c r="AN27" s="114">
        <f t="shared" si="47"/>
        <v>38958.333333333336</v>
      </c>
      <c r="AO27" s="114">
        <f t="shared" si="48"/>
        <v>38958.333333333336</v>
      </c>
      <c r="AP27" s="114">
        <f t="shared" si="49"/>
        <v>38958.333333333336</v>
      </c>
      <c r="AQ27" s="114">
        <f t="shared" si="50"/>
        <v>38958.333333333336</v>
      </c>
      <c r="AR27" s="115">
        <f t="shared" si="51"/>
        <v>350625</v>
      </c>
      <c r="AS27" s="113">
        <f t="shared" si="68"/>
        <v>0</v>
      </c>
      <c r="AT27" s="114">
        <f t="shared" si="52"/>
        <v>0</v>
      </c>
      <c r="AU27" s="114">
        <f t="shared" si="53"/>
        <v>0</v>
      </c>
      <c r="AV27" s="114">
        <f t="shared" si="54"/>
        <v>31874.999999999993</v>
      </c>
      <c r="AW27" s="114">
        <f t="shared" si="55"/>
        <v>31874.999999999993</v>
      </c>
      <c r="AX27" s="114">
        <f t="shared" si="56"/>
        <v>31874.999999999993</v>
      </c>
      <c r="AY27" s="114">
        <f t="shared" si="57"/>
        <v>31874.999999999993</v>
      </c>
      <c r="AZ27" s="114">
        <f t="shared" si="58"/>
        <v>31874.999999999993</v>
      </c>
      <c r="BA27" s="114">
        <f t="shared" si="59"/>
        <v>31874.999999999993</v>
      </c>
      <c r="BB27" s="114">
        <f t="shared" si="60"/>
        <v>31874.999999999993</v>
      </c>
      <c r="BC27" s="114">
        <f t="shared" si="61"/>
        <v>31874.999999999993</v>
      </c>
      <c r="BD27" s="114">
        <f t="shared" si="62"/>
        <v>31874.999999999993</v>
      </c>
      <c r="BE27" s="115">
        <f t="shared" si="63"/>
        <v>286874.99999999994</v>
      </c>
      <c r="BF27" s="73"/>
    </row>
    <row r="28" spans="1:58" x14ac:dyDescent="0.25">
      <c r="B28" s="106" t="s">
        <v>62</v>
      </c>
      <c r="C28" s="93">
        <v>1250000</v>
      </c>
      <c r="D28" s="71">
        <f t="shared" si="64"/>
        <v>104166.66666666667</v>
      </c>
      <c r="E28" s="94">
        <v>0</v>
      </c>
      <c r="F28" s="113"/>
      <c r="G28" s="114"/>
      <c r="H28" s="114"/>
      <c r="I28" s="114"/>
      <c r="J28" s="114">
        <f>D28</f>
        <v>104166.66666666667</v>
      </c>
      <c r="K28" s="114">
        <f t="shared" si="65"/>
        <v>104166.66666666667</v>
      </c>
      <c r="L28" s="114">
        <f t="shared" si="65"/>
        <v>104166.66666666667</v>
      </c>
      <c r="M28" s="114">
        <f t="shared" si="65"/>
        <v>104166.66666666667</v>
      </c>
      <c r="N28" s="114">
        <f t="shared" si="65"/>
        <v>104166.66666666667</v>
      </c>
      <c r="O28" s="114">
        <f t="shared" si="65"/>
        <v>104166.66666666667</v>
      </c>
      <c r="P28" s="114">
        <f t="shared" si="65"/>
        <v>104166.66666666667</v>
      </c>
      <c r="Q28" s="114">
        <f t="shared" si="65"/>
        <v>104166.66666666667</v>
      </c>
      <c r="R28" s="115">
        <f t="shared" si="39"/>
        <v>833333.33333333326</v>
      </c>
      <c r="S28" s="122">
        <f t="shared" si="66"/>
        <v>0</v>
      </c>
      <c r="T28" s="72">
        <v>0.6</v>
      </c>
      <c r="U28" s="72">
        <v>0.6</v>
      </c>
      <c r="V28" s="72">
        <v>0.6</v>
      </c>
      <c r="W28" s="72">
        <v>0.6</v>
      </c>
      <c r="X28" s="72">
        <v>0.6</v>
      </c>
      <c r="Y28" s="72">
        <v>0.6</v>
      </c>
      <c r="Z28" s="72">
        <v>0.6</v>
      </c>
      <c r="AA28" s="72">
        <v>0.6</v>
      </c>
      <c r="AB28" s="72">
        <v>0.6</v>
      </c>
      <c r="AC28" s="72">
        <v>0.6</v>
      </c>
      <c r="AD28" s="72">
        <v>0.6</v>
      </c>
      <c r="AE28" s="72">
        <v>0.6</v>
      </c>
      <c r="AF28" s="113">
        <f t="shared" si="67"/>
        <v>0</v>
      </c>
      <c r="AG28" s="114">
        <f t="shared" si="40"/>
        <v>0</v>
      </c>
      <c r="AH28" s="114">
        <f t="shared" si="41"/>
        <v>0</v>
      </c>
      <c r="AI28" s="114">
        <f t="shared" si="42"/>
        <v>0</v>
      </c>
      <c r="AJ28" s="114">
        <f t="shared" si="43"/>
        <v>62500</v>
      </c>
      <c r="AK28" s="114">
        <f t="shared" si="44"/>
        <v>62500</v>
      </c>
      <c r="AL28" s="114">
        <f t="shared" si="45"/>
        <v>62500</v>
      </c>
      <c r="AM28" s="114">
        <f t="shared" si="46"/>
        <v>62500</v>
      </c>
      <c r="AN28" s="114">
        <f t="shared" si="47"/>
        <v>62500</v>
      </c>
      <c r="AO28" s="114">
        <f t="shared" si="48"/>
        <v>62500</v>
      </c>
      <c r="AP28" s="114">
        <f t="shared" si="49"/>
        <v>62500</v>
      </c>
      <c r="AQ28" s="114">
        <f t="shared" si="50"/>
        <v>62500</v>
      </c>
      <c r="AR28" s="115">
        <f t="shared" si="51"/>
        <v>500000</v>
      </c>
      <c r="AS28" s="113">
        <f t="shared" si="68"/>
        <v>0</v>
      </c>
      <c r="AT28" s="114">
        <f t="shared" si="52"/>
        <v>0</v>
      </c>
      <c r="AU28" s="114">
        <f t="shared" si="53"/>
        <v>0</v>
      </c>
      <c r="AV28" s="114">
        <f t="shared" si="54"/>
        <v>0</v>
      </c>
      <c r="AW28" s="114">
        <f t="shared" si="55"/>
        <v>41666.666666666672</v>
      </c>
      <c r="AX28" s="114">
        <f t="shared" si="56"/>
        <v>41666.666666666672</v>
      </c>
      <c r="AY28" s="114">
        <f t="shared" si="57"/>
        <v>41666.666666666672</v>
      </c>
      <c r="AZ28" s="114">
        <f t="shared" si="58"/>
        <v>41666.666666666672</v>
      </c>
      <c r="BA28" s="114">
        <f t="shared" si="59"/>
        <v>41666.666666666672</v>
      </c>
      <c r="BB28" s="114">
        <f t="shared" si="60"/>
        <v>41666.666666666672</v>
      </c>
      <c r="BC28" s="114">
        <f t="shared" si="61"/>
        <v>41666.666666666672</v>
      </c>
      <c r="BD28" s="114">
        <f t="shared" si="62"/>
        <v>41666.666666666672</v>
      </c>
      <c r="BE28" s="115">
        <f t="shared" si="63"/>
        <v>333333.33333333343</v>
      </c>
      <c r="BF28" s="73"/>
    </row>
    <row r="29" spans="1:58" x14ac:dyDescent="0.25">
      <c r="B29" s="106" t="s">
        <v>63</v>
      </c>
      <c r="C29" s="93">
        <v>750000</v>
      </c>
      <c r="D29" s="71">
        <f t="shared" si="64"/>
        <v>62500</v>
      </c>
      <c r="E29" s="94">
        <v>0</v>
      </c>
      <c r="F29" s="113"/>
      <c r="G29" s="114"/>
      <c r="H29" s="114"/>
      <c r="I29" s="114">
        <f>D29</f>
        <v>62500</v>
      </c>
      <c r="J29" s="114">
        <f t="shared" si="65"/>
        <v>62500</v>
      </c>
      <c r="K29" s="114">
        <f t="shared" si="65"/>
        <v>62500</v>
      </c>
      <c r="L29" s="114">
        <f t="shared" si="65"/>
        <v>62500</v>
      </c>
      <c r="M29" s="114">
        <f t="shared" si="65"/>
        <v>62500</v>
      </c>
      <c r="N29" s="114">
        <f t="shared" si="65"/>
        <v>62500</v>
      </c>
      <c r="O29" s="114">
        <f t="shared" si="65"/>
        <v>62500</v>
      </c>
      <c r="P29" s="114">
        <f t="shared" si="65"/>
        <v>62500</v>
      </c>
      <c r="Q29" s="114">
        <f t="shared" si="65"/>
        <v>62500</v>
      </c>
      <c r="R29" s="115">
        <f t="shared" si="39"/>
        <v>562500</v>
      </c>
      <c r="S29" s="122">
        <f t="shared" si="66"/>
        <v>0</v>
      </c>
      <c r="T29" s="72">
        <v>0.6</v>
      </c>
      <c r="U29" s="72">
        <v>0.6</v>
      </c>
      <c r="V29" s="72">
        <v>0.6</v>
      </c>
      <c r="W29" s="72">
        <v>0.6</v>
      </c>
      <c r="X29" s="72">
        <v>0.6</v>
      </c>
      <c r="Y29" s="72">
        <v>0.6</v>
      </c>
      <c r="Z29" s="72">
        <v>0.6</v>
      </c>
      <c r="AA29" s="72">
        <v>0.6</v>
      </c>
      <c r="AB29" s="72">
        <v>0.6</v>
      </c>
      <c r="AC29" s="72">
        <v>0.6</v>
      </c>
      <c r="AD29" s="72">
        <v>0.6</v>
      </c>
      <c r="AE29" s="72">
        <v>0.6</v>
      </c>
      <c r="AF29" s="113">
        <f t="shared" si="67"/>
        <v>0</v>
      </c>
      <c r="AG29" s="114">
        <f t="shared" si="40"/>
        <v>0</v>
      </c>
      <c r="AH29" s="114">
        <f t="shared" si="41"/>
        <v>0</v>
      </c>
      <c r="AI29" s="114">
        <f t="shared" si="42"/>
        <v>37500</v>
      </c>
      <c r="AJ29" s="114">
        <f t="shared" si="43"/>
        <v>37500</v>
      </c>
      <c r="AK29" s="114">
        <f t="shared" si="44"/>
        <v>37500</v>
      </c>
      <c r="AL29" s="114">
        <f t="shared" si="45"/>
        <v>37500</v>
      </c>
      <c r="AM29" s="114">
        <f t="shared" si="46"/>
        <v>37500</v>
      </c>
      <c r="AN29" s="114">
        <f t="shared" si="47"/>
        <v>37500</v>
      </c>
      <c r="AO29" s="114">
        <f t="shared" si="48"/>
        <v>37500</v>
      </c>
      <c r="AP29" s="114">
        <f t="shared" si="49"/>
        <v>37500</v>
      </c>
      <c r="AQ29" s="114">
        <f t="shared" si="50"/>
        <v>37500</v>
      </c>
      <c r="AR29" s="115">
        <f t="shared" si="51"/>
        <v>337500</v>
      </c>
      <c r="AS29" s="113">
        <f t="shared" si="68"/>
        <v>0</v>
      </c>
      <c r="AT29" s="114">
        <f t="shared" si="52"/>
        <v>0</v>
      </c>
      <c r="AU29" s="114">
        <f t="shared" si="53"/>
        <v>0</v>
      </c>
      <c r="AV29" s="114">
        <f t="shared" si="54"/>
        <v>25000</v>
      </c>
      <c r="AW29" s="114">
        <f t="shared" si="55"/>
        <v>25000</v>
      </c>
      <c r="AX29" s="114">
        <f t="shared" si="56"/>
        <v>25000</v>
      </c>
      <c r="AY29" s="114">
        <f t="shared" si="57"/>
        <v>25000</v>
      </c>
      <c r="AZ29" s="114">
        <f t="shared" si="58"/>
        <v>25000</v>
      </c>
      <c r="BA29" s="114">
        <f t="shared" si="59"/>
        <v>25000</v>
      </c>
      <c r="BB29" s="114">
        <f t="shared" si="60"/>
        <v>25000</v>
      </c>
      <c r="BC29" s="114">
        <f t="shared" si="61"/>
        <v>25000</v>
      </c>
      <c r="BD29" s="114">
        <f t="shared" si="62"/>
        <v>25000</v>
      </c>
      <c r="BE29" s="115">
        <f t="shared" si="63"/>
        <v>225000</v>
      </c>
      <c r="BF29" s="73"/>
    </row>
    <row r="30" spans="1:58" x14ac:dyDescent="0.25">
      <c r="B30" s="106" t="s">
        <v>64</v>
      </c>
      <c r="C30" s="93">
        <v>400000</v>
      </c>
      <c r="D30" s="71">
        <f t="shared" si="64"/>
        <v>33333.333333333336</v>
      </c>
      <c r="E30" s="94">
        <v>0</v>
      </c>
      <c r="F30" s="113"/>
      <c r="G30" s="114"/>
      <c r="H30" s="114"/>
      <c r="I30" s="114"/>
      <c r="J30" s="114"/>
      <c r="K30" s="114">
        <f>D30</f>
        <v>33333.333333333336</v>
      </c>
      <c r="L30" s="114">
        <f t="shared" si="65"/>
        <v>33333.333333333336</v>
      </c>
      <c r="M30" s="114">
        <f t="shared" si="65"/>
        <v>33333.333333333336</v>
      </c>
      <c r="N30" s="114">
        <f t="shared" si="65"/>
        <v>33333.333333333336</v>
      </c>
      <c r="O30" s="114">
        <f t="shared" si="65"/>
        <v>33333.333333333336</v>
      </c>
      <c r="P30" s="114">
        <f t="shared" si="65"/>
        <v>33333.333333333336</v>
      </c>
      <c r="Q30" s="114">
        <f t="shared" si="65"/>
        <v>33333.333333333336</v>
      </c>
      <c r="R30" s="115">
        <f t="shared" si="39"/>
        <v>233333.33333333337</v>
      </c>
      <c r="S30" s="122">
        <f t="shared" si="66"/>
        <v>0</v>
      </c>
      <c r="T30" s="72">
        <v>0.6</v>
      </c>
      <c r="U30" s="72">
        <v>0.6</v>
      </c>
      <c r="V30" s="72">
        <v>0.6</v>
      </c>
      <c r="W30" s="72">
        <v>0.6</v>
      </c>
      <c r="X30" s="72">
        <v>0.6</v>
      </c>
      <c r="Y30" s="72">
        <v>0.6</v>
      </c>
      <c r="Z30" s="72">
        <v>0.6</v>
      </c>
      <c r="AA30" s="72">
        <v>0.6</v>
      </c>
      <c r="AB30" s="72">
        <v>0.6</v>
      </c>
      <c r="AC30" s="72">
        <v>0.6</v>
      </c>
      <c r="AD30" s="72">
        <v>0.6</v>
      </c>
      <c r="AE30" s="72">
        <v>0.6</v>
      </c>
      <c r="AF30" s="113">
        <f t="shared" si="67"/>
        <v>0</v>
      </c>
      <c r="AG30" s="114">
        <f t="shared" si="40"/>
        <v>0</v>
      </c>
      <c r="AH30" s="114">
        <f t="shared" si="41"/>
        <v>0</v>
      </c>
      <c r="AI30" s="114">
        <f t="shared" si="42"/>
        <v>0</v>
      </c>
      <c r="AJ30" s="114">
        <f t="shared" si="43"/>
        <v>0</v>
      </c>
      <c r="AK30" s="114">
        <f t="shared" si="44"/>
        <v>20000</v>
      </c>
      <c r="AL30" s="114">
        <f t="shared" si="45"/>
        <v>20000</v>
      </c>
      <c r="AM30" s="114">
        <f t="shared" si="46"/>
        <v>20000</v>
      </c>
      <c r="AN30" s="114">
        <f t="shared" si="47"/>
        <v>20000</v>
      </c>
      <c r="AO30" s="114">
        <f t="shared" si="48"/>
        <v>20000</v>
      </c>
      <c r="AP30" s="114">
        <f t="shared" si="49"/>
        <v>20000</v>
      </c>
      <c r="AQ30" s="114">
        <f t="shared" si="50"/>
        <v>20000</v>
      </c>
      <c r="AR30" s="115">
        <f t="shared" si="51"/>
        <v>140000</v>
      </c>
      <c r="AS30" s="113">
        <f t="shared" si="68"/>
        <v>0</v>
      </c>
      <c r="AT30" s="114">
        <f t="shared" si="52"/>
        <v>0</v>
      </c>
      <c r="AU30" s="114">
        <f t="shared" si="53"/>
        <v>0</v>
      </c>
      <c r="AV30" s="114">
        <f t="shared" si="54"/>
        <v>0</v>
      </c>
      <c r="AW30" s="114">
        <f t="shared" si="55"/>
        <v>0</v>
      </c>
      <c r="AX30" s="114">
        <f t="shared" si="56"/>
        <v>13333.333333333336</v>
      </c>
      <c r="AY30" s="114">
        <f t="shared" si="57"/>
        <v>13333.333333333336</v>
      </c>
      <c r="AZ30" s="114">
        <f t="shared" si="58"/>
        <v>13333.333333333336</v>
      </c>
      <c r="BA30" s="114">
        <f t="shared" si="59"/>
        <v>13333.333333333336</v>
      </c>
      <c r="BB30" s="114">
        <f t="shared" si="60"/>
        <v>13333.333333333336</v>
      </c>
      <c r="BC30" s="114">
        <f t="shared" si="61"/>
        <v>13333.333333333336</v>
      </c>
      <c r="BD30" s="114">
        <f t="shared" si="62"/>
        <v>13333.333333333336</v>
      </c>
      <c r="BE30" s="115">
        <f t="shared" si="63"/>
        <v>93333.333333333372</v>
      </c>
      <c r="BF30" s="73"/>
    </row>
    <row r="31" spans="1:58" x14ac:dyDescent="0.25">
      <c r="B31" s="106" t="s">
        <v>65</v>
      </c>
      <c r="C31" s="93">
        <v>1500000</v>
      </c>
      <c r="D31" s="71">
        <f t="shared" si="64"/>
        <v>125000</v>
      </c>
      <c r="E31" s="94">
        <v>0</v>
      </c>
      <c r="F31" s="113"/>
      <c r="G31" s="114"/>
      <c r="H31" s="114"/>
      <c r="I31" s="114"/>
      <c r="J31" s="114"/>
      <c r="K31" s="114"/>
      <c r="L31" s="114"/>
      <c r="M31" s="114"/>
      <c r="N31" s="114">
        <f>D31</f>
        <v>125000</v>
      </c>
      <c r="O31" s="114">
        <f t="shared" si="65"/>
        <v>125000</v>
      </c>
      <c r="P31" s="114">
        <f t="shared" si="65"/>
        <v>125000</v>
      </c>
      <c r="Q31" s="114">
        <f t="shared" si="65"/>
        <v>125000</v>
      </c>
      <c r="R31" s="115">
        <f t="shared" si="39"/>
        <v>500000</v>
      </c>
      <c r="S31" s="122"/>
      <c r="T31" s="72">
        <v>0.6</v>
      </c>
      <c r="U31" s="72">
        <v>0.6</v>
      </c>
      <c r="V31" s="72">
        <v>0.6</v>
      </c>
      <c r="W31" s="72">
        <v>0.6</v>
      </c>
      <c r="X31" s="72">
        <v>0.6</v>
      </c>
      <c r="Y31" s="72">
        <v>0.6</v>
      </c>
      <c r="Z31" s="72">
        <v>0.6</v>
      </c>
      <c r="AA31" s="72">
        <v>0.6</v>
      </c>
      <c r="AB31" s="72">
        <v>0.6</v>
      </c>
      <c r="AC31" s="72">
        <v>0.6</v>
      </c>
      <c r="AD31" s="72">
        <v>0.6</v>
      </c>
      <c r="AE31" s="72">
        <v>0.6</v>
      </c>
      <c r="AF31" s="113">
        <f t="shared" ref="AF31:AF32" si="69">+F31*T31</f>
        <v>0</v>
      </c>
      <c r="AG31" s="114">
        <f t="shared" ref="AG31:AG32" si="70">+G31*U31</f>
        <v>0</v>
      </c>
      <c r="AH31" s="114">
        <f t="shared" ref="AH31:AH32" si="71">+H31*V31</f>
        <v>0</v>
      </c>
      <c r="AI31" s="114">
        <f t="shared" ref="AI31:AI32" si="72">+I31*W31</f>
        <v>0</v>
      </c>
      <c r="AJ31" s="114">
        <f t="shared" ref="AJ31:AJ32" si="73">+J31*X31</f>
        <v>0</v>
      </c>
      <c r="AK31" s="114">
        <f t="shared" ref="AK31:AK32" si="74">+K31*Y31</f>
        <v>0</v>
      </c>
      <c r="AL31" s="114">
        <f t="shared" ref="AL31:AL32" si="75">+L31*Z31</f>
        <v>0</v>
      </c>
      <c r="AM31" s="114">
        <f t="shared" ref="AM31:AM32" si="76">+M31*AA31</f>
        <v>0</v>
      </c>
      <c r="AN31" s="114">
        <f t="shared" ref="AN31:AN32" si="77">+N31*AB31</f>
        <v>75000</v>
      </c>
      <c r="AO31" s="114">
        <f t="shared" ref="AO31:AO32" si="78">+O31*AC31</f>
        <v>75000</v>
      </c>
      <c r="AP31" s="114">
        <f t="shared" ref="AP31:AP32" si="79">+P31*AD31</f>
        <v>75000</v>
      </c>
      <c r="AQ31" s="114">
        <f t="shared" ref="AQ31:AQ32" si="80">+Q31*AE31</f>
        <v>75000</v>
      </c>
      <c r="AR31" s="115">
        <f t="shared" ref="AR31:AR32" si="81">SUM(AF31:AQ31)</f>
        <v>300000</v>
      </c>
      <c r="AS31" s="113">
        <f t="shared" ref="AS31:AS32" si="82">+F31-AF31</f>
        <v>0</v>
      </c>
      <c r="AT31" s="114">
        <f t="shared" ref="AT31:AT32" si="83">+G31-AG31</f>
        <v>0</v>
      </c>
      <c r="AU31" s="114">
        <f t="shared" ref="AU31:AU32" si="84">+H31-AH31</f>
        <v>0</v>
      </c>
      <c r="AV31" s="114">
        <f t="shared" ref="AV31:AV32" si="85">+I31-AI31</f>
        <v>0</v>
      </c>
      <c r="AW31" s="114">
        <f t="shared" ref="AW31:AW32" si="86">+J31-AJ31</f>
        <v>0</v>
      </c>
      <c r="AX31" s="114">
        <f t="shared" ref="AX31:AX32" si="87">+K31-AK31</f>
        <v>0</v>
      </c>
      <c r="AY31" s="114">
        <f t="shared" ref="AY31:AY32" si="88">+L31-AL31</f>
        <v>0</v>
      </c>
      <c r="AZ31" s="114">
        <f t="shared" ref="AZ31:AZ32" si="89">+M31-AM31</f>
        <v>0</v>
      </c>
      <c r="BA31" s="114">
        <f t="shared" ref="BA31:BA32" si="90">+N31-AN31</f>
        <v>50000</v>
      </c>
      <c r="BB31" s="114">
        <f t="shared" ref="BB31:BB32" si="91">+O31-AO31</f>
        <v>50000</v>
      </c>
      <c r="BC31" s="114">
        <f t="shared" ref="BC31:BC32" si="92">+P31-AP31</f>
        <v>50000</v>
      </c>
      <c r="BD31" s="114">
        <f t="shared" ref="BD31:BD32" si="93">+Q31-AQ31</f>
        <v>50000</v>
      </c>
      <c r="BE31" s="115">
        <f t="shared" ref="BE31:BE32" si="94">SUM(AS31:BD31)</f>
        <v>200000</v>
      </c>
      <c r="BF31" s="73"/>
    </row>
    <row r="32" spans="1:58" x14ac:dyDescent="0.25">
      <c r="B32" s="106" t="s">
        <v>66</v>
      </c>
      <c r="C32" s="93">
        <v>1500000</v>
      </c>
      <c r="D32" s="71">
        <f t="shared" si="64"/>
        <v>125000</v>
      </c>
      <c r="E32" s="94">
        <v>0</v>
      </c>
      <c r="F32" s="113"/>
      <c r="G32" s="114"/>
      <c r="H32" s="114"/>
      <c r="I32" s="114"/>
      <c r="J32" s="114"/>
      <c r="K32" s="114"/>
      <c r="L32" s="114"/>
      <c r="M32" s="114"/>
      <c r="N32" s="114">
        <f>D32</f>
        <v>125000</v>
      </c>
      <c r="O32" s="114">
        <f t="shared" si="65"/>
        <v>125000</v>
      </c>
      <c r="P32" s="114">
        <f t="shared" si="65"/>
        <v>125000</v>
      </c>
      <c r="Q32" s="114">
        <f t="shared" si="65"/>
        <v>125000</v>
      </c>
      <c r="R32" s="115">
        <f t="shared" si="39"/>
        <v>500000</v>
      </c>
      <c r="S32" s="122"/>
      <c r="T32" s="72">
        <v>0.6</v>
      </c>
      <c r="U32" s="72">
        <v>0.6</v>
      </c>
      <c r="V32" s="72">
        <v>0.6</v>
      </c>
      <c r="W32" s="72">
        <v>0.6</v>
      </c>
      <c r="X32" s="72">
        <v>0.6</v>
      </c>
      <c r="Y32" s="72">
        <v>0.6</v>
      </c>
      <c r="Z32" s="72">
        <v>0.6</v>
      </c>
      <c r="AA32" s="72">
        <v>0.6</v>
      </c>
      <c r="AB32" s="72">
        <v>0.6</v>
      </c>
      <c r="AC32" s="72">
        <v>0.6</v>
      </c>
      <c r="AD32" s="72">
        <v>0.6</v>
      </c>
      <c r="AE32" s="72">
        <v>0.6</v>
      </c>
      <c r="AF32" s="113">
        <f t="shared" si="69"/>
        <v>0</v>
      </c>
      <c r="AG32" s="114">
        <f t="shared" si="70"/>
        <v>0</v>
      </c>
      <c r="AH32" s="114">
        <f t="shared" si="71"/>
        <v>0</v>
      </c>
      <c r="AI32" s="114">
        <f t="shared" si="72"/>
        <v>0</v>
      </c>
      <c r="AJ32" s="114">
        <f t="shared" si="73"/>
        <v>0</v>
      </c>
      <c r="AK32" s="114">
        <f t="shared" si="74"/>
        <v>0</v>
      </c>
      <c r="AL32" s="114">
        <f t="shared" si="75"/>
        <v>0</v>
      </c>
      <c r="AM32" s="114">
        <f t="shared" si="76"/>
        <v>0</v>
      </c>
      <c r="AN32" s="114">
        <f t="shared" si="77"/>
        <v>75000</v>
      </c>
      <c r="AO32" s="114">
        <f t="shared" si="78"/>
        <v>75000</v>
      </c>
      <c r="AP32" s="114">
        <f t="shared" si="79"/>
        <v>75000</v>
      </c>
      <c r="AQ32" s="114">
        <f t="shared" si="80"/>
        <v>75000</v>
      </c>
      <c r="AR32" s="115">
        <f t="shared" si="81"/>
        <v>300000</v>
      </c>
      <c r="AS32" s="113">
        <f t="shared" si="82"/>
        <v>0</v>
      </c>
      <c r="AT32" s="114">
        <f t="shared" si="83"/>
        <v>0</v>
      </c>
      <c r="AU32" s="114">
        <f t="shared" si="84"/>
        <v>0</v>
      </c>
      <c r="AV32" s="114">
        <f t="shared" si="85"/>
        <v>0</v>
      </c>
      <c r="AW32" s="114">
        <f t="shared" si="86"/>
        <v>0</v>
      </c>
      <c r="AX32" s="114">
        <f t="shared" si="87"/>
        <v>0</v>
      </c>
      <c r="AY32" s="114">
        <f t="shared" si="88"/>
        <v>0</v>
      </c>
      <c r="AZ32" s="114">
        <f t="shared" si="89"/>
        <v>0</v>
      </c>
      <c r="BA32" s="114">
        <f t="shared" si="90"/>
        <v>50000</v>
      </c>
      <c r="BB32" s="114">
        <f t="shared" si="91"/>
        <v>50000</v>
      </c>
      <c r="BC32" s="114">
        <f t="shared" si="92"/>
        <v>50000</v>
      </c>
      <c r="BD32" s="114">
        <f t="shared" si="93"/>
        <v>50000</v>
      </c>
      <c r="BE32" s="115">
        <f t="shared" si="94"/>
        <v>200000</v>
      </c>
      <c r="BF32" s="73"/>
    </row>
    <row r="33" spans="1:58" x14ac:dyDescent="0.25">
      <c r="B33" s="106" t="s">
        <v>67</v>
      </c>
      <c r="C33" s="93">
        <v>400000</v>
      </c>
      <c r="D33" s="71">
        <f t="shared" si="64"/>
        <v>33333.333333333336</v>
      </c>
      <c r="E33" s="94">
        <v>0</v>
      </c>
      <c r="F33" s="113"/>
      <c r="G33" s="114"/>
      <c r="H33" s="114"/>
      <c r="I33" s="114"/>
      <c r="J33" s="114">
        <f>D33</f>
        <v>33333.333333333336</v>
      </c>
      <c r="K33" s="114">
        <f t="shared" si="65"/>
        <v>33333.333333333336</v>
      </c>
      <c r="L33" s="114">
        <f t="shared" si="65"/>
        <v>33333.333333333336</v>
      </c>
      <c r="M33" s="114">
        <f t="shared" si="65"/>
        <v>33333.333333333336</v>
      </c>
      <c r="N33" s="114">
        <f t="shared" si="65"/>
        <v>33333.333333333336</v>
      </c>
      <c r="O33" s="114">
        <f t="shared" si="65"/>
        <v>33333.333333333336</v>
      </c>
      <c r="P33" s="114">
        <f t="shared" si="65"/>
        <v>33333.333333333336</v>
      </c>
      <c r="Q33" s="114">
        <f t="shared" si="65"/>
        <v>33333.333333333336</v>
      </c>
      <c r="R33" s="115">
        <f t="shared" si="39"/>
        <v>266666.66666666669</v>
      </c>
      <c r="S33" s="122">
        <f t="shared" si="66"/>
        <v>0</v>
      </c>
      <c r="T33" s="72">
        <v>0.6</v>
      </c>
      <c r="U33" s="72">
        <v>0.6</v>
      </c>
      <c r="V33" s="72">
        <v>0.6</v>
      </c>
      <c r="W33" s="72">
        <v>0.6</v>
      </c>
      <c r="X33" s="72">
        <v>0.6</v>
      </c>
      <c r="Y33" s="72">
        <v>0.6</v>
      </c>
      <c r="Z33" s="72">
        <v>0.6</v>
      </c>
      <c r="AA33" s="72">
        <v>0.6</v>
      </c>
      <c r="AB33" s="72">
        <v>0.6</v>
      </c>
      <c r="AC33" s="72">
        <v>0.6</v>
      </c>
      <c r="AD33" s="72">
        <v>0.6</v>
      </c>
      <c r="AE33" s="72">
        <v>0.6</v>
      </c>
      <c r="AF33" s="113">
        <f t="shared" si="67"/>
        <v>0</v>
      </c>
      <c r="AG33" s="114">
        <f t="shared" si="40"/>
        <v>0</v>
      </c>
      <c r="AH33" s="114">
        <f t="shared" si="41"/>
        <v>0</v>
      </c>
      <c r="AI33" s="114">
        <f t="shared" si="42"/>
        <v>0</v>
      </c>
      <c r="AJ33" s="114">
        <f t="shared" si="43"/>
        <v>20000</v>
      </c>
      <c r="AK33" s="114">
        <f t="shared" si="44"/>
        <v>20000</v>
      </c>
      <c r="AL33" s="114">
        <f t="shared" si="45"/>
        <v>20000</v>
      </c>
      <c r="AM33" s="114">
        <f t="shared" si="46"/>
        <v>20000</v>
      </c>
      <c r="AN33" s="114">
        <f t="shared" si="47"/>
        <v>20000</v>
      </c>
      <c r="AO33" s="114">
        <f t="shared" si="48"/>
        <v>20000</v>
      </c>
      <c r="AP33" s="114">
        <f t="shared" si="49"/>
        <v>20000</v>
      </c>
      <c r="AQ33" s="114">
        <f t="shared" si="50"/>
        <v>20000</v>
      </c>
      <c r="AR33" s="115">
        <f t="shared" si="51"/>
        <v>160000</v>
      </c>
      <c r="AS33" s="113">
        <f t="shared" si="68"/>
        <v>0</v>
      </c>
      <c r="AT33" s="114">
        <f t="shared" si="52"/>
        <v>0</v>
      </c>
      <c r="AU33" s="114">
        <f t="shared" si="53"/>
        <v>0</v>
      </c>
      <c r="AV33" s="114">
        <f t="shared" si="54"/>
        <v>0</v>
      </c>
      <c r="AW33" s="114">
        <f t="shared" si="55"/>
        <v>13333.333333333336</v>
      </c>
      <c r="AX33" s="114">
        <f t="shared" si="56"/>
        <v>13333.333333333336</v>
      </c>
      <c r="AY33" s="114">
        <f t="shared" si="57"/>
        <v>13333.333333333336</v>
      </c>
      <c r="AZ33" s="114">
        <f t="shared" si="58"/>
        <v>13333.333333333336</v>
      </c>
      <c r="BA33" s="114">
        <f t="shared" si="59"/>
        <v>13333.333333333336</v>
      </c>
      <c r="BB33" s="114">
        <f t="shared" si="60"/>
        <v>13333.333333333336</v>
      </c>
      <c r="BC33" s="114">
        <f t="shared" si="61"/>
        <v>13333.333333333336</v>
      </c>
      <c r="BD33" s="114">
        <f t="shared" si="62"/>
        <v>13333.333333333336</v>
      </c>
      <c r="BE33" s="115">
        <f t="shared" si="63"/>
        <v>106666.66666666672</v>
      </c>
      <c r="BF33" s="73"/>
    </row>
    <row r="34" spans="1:58" x14ac:dyDescent="0.25">
      <c r="A34" s="75"/>
      <c r="B34" s="105" t="s">
        <v>69</v>
      </c>
      <c r="C34" s="95"/>
      <c r="D34" s="83"/>
      <c r="E34" s="96"/>
      <c r="F34" s="116">
        <f t="shared" ref="F34:Q34" si="95">SUM(F24:F33)</f>
        <v>0</v>
      </c>
      <c r="G34" s="84">
        <f t="shared" si="95"/>
        <v>0</v>
      </c>
      <c r="H34" s="84">
        <f t="shared" si="95"/>
        <v>0</v>
      </c>
      <c r="I34" s="84">
        <f>SUM(I24:I33)</f>
        <v>308333.33333333331</v>
      </c>
      <c r="J34" s="84">
        <f t="shared" si="95"/>
        <v>445833.33333333331</v>
      </c>
      <c r="K34" s="84">
        <f t="shared" si="95"/>
        <v>479166.66666666663</v>
      </c>
      <c r="L34" s="84">
        <f t="shared" si="95"/>
        <v>854166.66666666674</v>
      </c>
      <c r="M34" s="84">
        <f t="shared" si="95"/>
        <v>1187499.9999999998</v>
      </c>
      <c r="N34" s="84">
        <f t="shared" si="95"/>
        <v>1437499.9999999998</v>
      </c>
      <c r="O34" s="84">
        <f t="shared" si="95"/>
        <v>1437499.9999999998</v>
      </c>
      <c r="P34" s="84">
        <f t="shared" si="95"/>
        <v>1437499.9999999998</v>
      </c>
      <c r="Q34" s="84">
        <f t="shared" si="95"/>
        <v>1437499.9999999998</v>
      </c>
      <c r="R34" s="115">
        <f>SUM(F34:Q34)</f>
        <v>9025000</v>
      </c>
      <c r="S34" s="123"/>
      <c r="T34" s="95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96"/>
      <c r="AF34" s="116">
        <f t="shared" ref="AF34:AQ34" si="96">SUM(AF24:AF33)</f>
        <v>0</v>
      </c>
      <c r="AG34" s="84">
        <f t="shared" si="96"/>
        <v>0</v>
      </c>
      <c r="AH34" s="84">
        <f t="shared" si="96"/>
        <v>0</v>
      </c>
      <c r="AI34" s="84">
        <f t="shared" si="96"/>
        <v>172708.33333333334</v>
      </c>
      <c r="AJ34" s="84">
        <f t="shared" si="96"/>
        <v>255208.33333333334</v>
      </c>
      <c r="AK34" s="84">
        <f t="shared" si="96"/>
        <v>275208.33333333337</v>
      </c>
      <c r="AL34" s="84">
        <f t="shared" si="96"/>
        <v>481458.33333333337</v>
      </c>
      <c r="AM34" s="84">
        <f t="shared" si="96"/>
        <v>664791.66666666674</v>
      </c>
      <c r="AN34" s="84">
        <f t="shared" si="96"/>
        <v>814791.66666666674</v>
      </c>
      <c r="AO34" s="84">
        <f t="shared" si="96"/>
        <v>814791.66666666674</v>
      </c>
      <c r="AP34" s="84">
        <f t="shared" si="96"/>
        <v>814791.66666666674</v>
      </c>
      <c r="AQ34" s="84">
        <f t="shared" si="96"/>
        <v>814791.66666666674</v>
      </c>
      <c r="AR34" s="115">
        <f>SUM(AF34:AQ34)</f>
        <v>5108541.6666666679</v>
      </c>
      <c r="AS34" s="116">
        <f t="shared" ref="AS34:BD34" si="97">SUM(AS24:AS33)</f>
        <v>0</v>
      </c>
      <c r="AT34" s="84">
        <f t="shared" si="97"/>
        <v>0</v>
      </c>
      <c r="AU34" s="84">
        <f t="shared" si="97"/>
        <v>0</v>
      </c>
      <c r="AV34" s="84">
        <f t="shared" si="97"/>
        <v>135624.99999999997</v>
      </c>
      <c r="AW34" s="84">
        <f t="shared" si="97"/>
        <v>190624.99999999997</v>
      </c>
      <c r="AX34" s="84">
        <f t="shared" si="97"/>
        <v>203958.33333333331</v>
      </c>
      <c r="AY34" s="84">
        <f t="shared" si="97"/>
        <v>372708.33333333326</v>
      </c>
      <c r="AZ34" s="84">
        <f t="shared" si="97"/>
        <v>522708.33333333326</v>
      </c>
      <c r="BA34" s="84">
        <f t="shared" si="97"/>
        <v>622708.33333333337</v>
      </c>
      <c r="BB34" s="84">
        <f t="shared" si="97"/>
        <v>622708.33333333337</v>
      </c>
      <c r="BC34" s="84">
        <f t="shared" si="97"/>
        <v>622708.33333333337</v>
      </c>
      <c r="BD34" s="84">
        <f t="shared" si="97"/>
        <v>622708.33333333337</v>
      </c>
      <c r="BE34" s="115">
        <f>SUM(AS34:BD34)</f>
        <v>3916458.3333333335</v>
      </c>
      <c r="BF34" s="76"/>
    </row>
    <row r="35" spans="1:58" x14ac:dyDescent="0.25">
      <c r="A35" s="77"/>
      <c r="B35" s="107" t="s">
        <v>55</v>
      </c>
      <c r="C35" s="97"/>
      <c r="D35" s="98"/>
      <c r="E35" s="99"/>
      <c r="F35" s="117">
        <v>1</v>
      </c>
      <c r="G35" s="78">
        <v>1</v>
      </c>
      <c r="H35" s="78">
        <v>1</v>
      </c>
      <c r="I35" s="78">
        <v>1</v>
      </c>
      <c r="J35" s="78">
        <v>1</v>
      </c>
      <c r="K35" s="78">
        <v>1</v>
      </c>
      <c r="L35" s="78">
        <v>1</v>
      </c>
      <c r="M35" s="78">
        <v>1</v>
      </c>
      <c r="N35" s="78">
        <v>1</v>
      </c>
      <c r="O35" s="78">
        <v>1</v>
      </c>
      <c r="P35" s="78">
        <v>1</v>
      </c>
      <c r="Q35" s="78">
        <v>1</v>
      </c>
      <c r="R35" s="118"/>
      <c r="S35" s="124"/>
      <c r="T35" s="12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9"/>
      <c r="AF35" s="132">
        <v>1</v>
      </c>
      <c r="AG35" s="79">
        <v>1</v>
      </c>
      <c r="AH35" s="79">
        <v>1</v>
      </c>
      <c r="AI35" s="79">
        <v>1</v>
      </c>
      <c r="AJ35" s="79">
        <v>1</v>
      </c>
      <c r="AK35" s="79">
        <v>1</v>
      </c>
      <c r="AL35" s="79">
        <v>1</v>
      </c>
      <c r="AM35" s="79">
        <v>1</v>
      </c>
      <c r="AN35" s="79">
        <v>1</v>
      </c>
      <c r="AO35" s="79">
        <v>1</v>
      </c>
      <c r="AP35" s="79">
        <v>1</v>
      </c>
      <c r="AQ35" s="80">
        <v>1</v>
      </c>
      <c r="AR35" s="118"/>
      <c r="AS35" s="132">
        <v>1</v>
      </c>
      <c r="AT35" s="79">
        <v>1</v>
      </c>
      <c r="AU35" s="79">
        <v>1</v>
      </c>
      <c r="AV35" s="79">
        <v>1</v>
      </c>
      <c r="AW35" s="79">
        <v>1</v>
      </c>
      <c r="AX35" s="79">
        <v>1</v>
      </c>
      <c r="AY35" s="79">
        <v>1</v>
      </c>
      <c r="AZ35" s="79">
        <v>1</v>
      </c>
      <c r="BA35" s="79">
        <v>1</v>
      </c>
      <c r="BB35" s="79">
        <v>1</v>
      </c>
      <c r="BC35" s="79">
        <v>1</v>
      </c>
      <c r="BD35" s="80">
        <v>1</v>
      </c>
      <c r="BE35" s="118"/>
      <c r="BF35" s="133"/>
    </row>
    <row r="36" spans="1:58" x14ac:dyDescent="0.25">
      <c r="A36" s="77"/>
      <c r="B36" s="107" t="s">
        <v>81</v>
      </c>
      <c r="C36" s="97"/>
      <c r="D36" s="98"/>
      <c r="E36" s="99"/>
      <c r="F36" s="169">
        <v>0.03</v>
      </c>
      <c r="G36" s="169">
        <v>0.03</v>
      </c>
      <c r="H36" s="169">
        <v>0.03</v>
      </c>
      <c r="I36" s="169">
        <v>0.03</v>
      </c>
      <c r="J36" s="169">
        <v>0.03</v>
      </c>
      <c r="K36" s="169">
        <v>0.05</v>
      </c>
      <c r="L36" s="169">
        <v>0.05</v>
      </c>
      <c r="M36" s="169">
        <v>0.05</v>
      </c>
      <c r="N36" s="169">
        <v>0.05</v>
      </c>
      <c r="O36" s="169">
        <v>0.05</v>
      </c>
      <c r="P36" s="169">
        <v>0.05</v>
      </c>
      <c r="Q36" s="169">
        <v>0.05</v>
      </c>
      <c r="R36" s="118"/>
      <c r="S36" s="124"/>
      <c r="T36" s="12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9"/>
      <c r="AF36" s="169">
        <v>0.03</v>
      </c>
      <c r="AG36" s="169">
        <v>0.03</v>
      </c>
      <c r="AH36" s="169">
        <v>0.03</v>
      </c>
      <c r="AI36" s="169">
        <v>0.03</v>
      </c>
      <c r="AJ36" s="169">
        <v>0.03</v>
      </c>
      <c r="AK36" s="169">
        <v>0.05</v>
      </c>
      <c r="AL36" s="169">
        <v>0.05</v>
      </c>
      <c r="AM36" s="169">
        <v>0.05</v>
      </c>
      <c r="AN36" s="169">
        <v>0.05</v>
      </c>
      <c r="AO36" s="169">
        <v>0.05</v>
      </c>
      <c r="AP36" s="169">
        <v>0.05</v>
      </c>
      <c r="AQ36" s="169">
        <v>0.05</v>
      </c>
      <c r="AR36" s="118"/>
      <c r="AS36" s="169">
        <v>0.03</v>
      </c>
      <c r="AT36" s="169">
        <v>0.03</v>
      </c>
      <c r="AU36" s="169">
        <v>0.03</v>
      </c>
      <c r="AV36" s="169">
        <v>0.03</v>
      </c>
      <c r="AW36" s="169">
        <v>0.03</v>
      </c>
      <c r="AX36" s="169">
        <v>0.05</v>
      </c>
      <c r="AY36" s="169">
        <v>0.05</v>
      </c>
      <c r="AZ36" s="169">
        <v>0.05</v>
      </c>
      <c r="BA36" s="169">
        <v>0.05</v>
      </c>
      <c r="BB36" s="169">
        <v>0.05</v>
      </c>
      <c r="BC36" s="169">
        <v>0.05</v>
      </c>
      <c r="BD36" s="169">
        <v>0.05</v>
      </c>
      <c r="BE36" s="118"/>
      <c r="BF36" s="168"/>
    </row>
    <row r="37" spans="1:58" ht="15.75" thickBot="1" x14ac:dyDescent="0.3">
      <c r="A37" s="82"/>
      <c r="B37" s="108" t="s">
        <v>56</v>
      </c>
      <c r="C37" s="100">
        <f>SUM(C21:C33)</f>
        <v>17250000</v>
      </c>
      <c r="D37" s="101">
        <f>SUM(D21:D33)</f>
        <v>1437499.9999999998</v>
      </c>
      <c r="E37" s="102"/>
      <c r="F37" s="170">
        <f>(+F34*F35)*(1-F36)</f>
        <v>0</v>
      </c>
      <c r="G37" s="170">
        <f>(+G34*G35)*(1-G36)</f>
        <v>0</v>
      </c>
      <c r="H37" s="170">
        <f t="shared" ref="H37" si="98">(+H34*H35)*(1-H36)</f>
        <v>0</v>
      </c>
      <c r="I37" s="170">
        <f>(+I34*I35)*(1-I36)</f>
        <v>299083.33333333331</v>
      </c>
      <c r="J37" s="170">
        <f t="shared" ref="J37" si="99">(+J34*J35)*(1-J36)</f>
        <v>432458.33333333331</v>
      </c>
      <c r="K37" s="170">
        <f t="shared" ref="K37" si="100">(+K34*K35)*(1-K36)</f>
        <v>455208.33333333326</v>
      </c>
      <c r="L37" s="170">
        <f t="shared" ref="L37" si="101">(+L34*L35)*(1-L36)</f>
        <v>811458.33333333337</v>
      </c>
      <c r="M37" s="170">
        <f t="shared" ref="M37" si="102">(+M34*M35)*(1-M36)</f>
        <v>1128124.9999999998</v>
      </c>
      <c r="N37" s="170">
        <f t="shared" ref="N37" si="103">(+N34*N35)*(1-N36)</f>
        <v>1365624.9999999998</v>
      </c>
      <c r="O37" s="170">
        <f t="shared" ref="O37" si="104">(+O34*O35)*(1-O36)</f>
        <v>1365624.9999999998</v>
      </c>
      <c r="P37" s="170">
        <f t="shared" ref="P37" si="105">(+P34*P35)*(1-P36)</f>
        <v>1365624.9999999998</v>
      </c>
      <c r="Q37" s="170">
        <f t="shared" ref="Q37" si="106">(+Q34*Q35)*(1-Q36)</f>
        <v>1365624.9999999998</v>
      </c>
      <c r="R37" s="119">
        <f>SUM(F37:Q37)</f>
        <v>8588833.3333333321</v>
      </c>
      <c r="S37" s="125"/>
      <c r="T37" s="129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1"/>
      <c r="AF37" s="170">
        <f>(+AF34*AF35)*(1-AF36)</f>
        <v>0</v>
      </c>
      <c r="AG37" s="170">
        <f t="shared" ref="AG37" si="107">(+AG34*AG35)*(1-AG36)</f>
        <v>0</v>
      </c>
      <c r="AH37" s="170">
        <f t="shared" ref="AH37" si="108">(+AH34*AH35)*(1-AH36)</f>
        <v>0</v>
      </c>
      <c r="AI37" s="170">
        <f t="shared" ref="AI37" si="109">(+AI34*AI35)*(1-AI36)</f>
        <v>167527.08333333334</v>
      </c>
      <c r="AJ37" s="170">
        <f t="shared" ref="AJ37" si="110">(+AJ34*AJ35)*(1-AJ36)</f>
        <v>247552.08333333334</v>
      </c>
      <c r="AK37" s="170">
        <f t="shared" ref="AK37" si="111">(+AK34*AK35)*(1-AK36)</f>
        <v>261447.91666666669</v>
      </c>
      <c r="AL37" s="170">
        <f t="shared" ref="AL37" si="112">(+AL34*AL35)*(1-AL36)</f>
        <v>457385.41666666669</v>
      </c>
      <c r="AM37" s="170">
        <f t="shared" ref="AM37" si="113">(+AM34*AM35)*(1-AM36)</f>
        <v>631552.08333333337</v>
      </c>
      <c r="AN37" s="170">
        <f t="shared" ref="AN37" si="114">(+AN34*AN35)*(1-AN36)</f>
        <v>774052.08333333337</v>
      </c>
      <c r="AO37" s="170">
        <f t="shared" ref="AO37" si="115">(+AO34*AO35)*(1-AO36)</f>
        <v>774052.08333333337</v>
      </c>
      <c r="AP37" s="170">
        <f t="shared" ref="AP37" si="116">(+AP34*AP35)*(1-AP36)</f>
        <v>774052.08333333337</v>
      </c>
      <c r="AQ37" s="170">
        <f t="shared" ref="AQ37" si="117">(+AQ34*AQ35)*(1-AQ36)</f>
        <v>774052.08333333337</v>
      </c>
      <c r="AR37" s="119">
        <f>SUM(AF37:AQ37)</f>
        <v>4861672.916666667</v>
      </c>
      <c r="AS37" s="170">
        <f>(+AS34*AS35)*(1-AS36)</f>
        <v>0</v>
      </c>
      <c r="AT37" s="170">
        <f t="shared" ref="AT37" si="118">(+AT34*AT35)*(1-AT36)</f>
        <v>0</v>
      </c>
      <c r="AU37" s="170">
        <f t="shared" ref="AU37" si="119">(+AU34*AU35)*(1-AU36)</f>
        <v>0</v>
      </c>
      <c r="AV37" s="170">
        <f t="shared" ref="AV37" si="120">(+AV34*AV35)*(1-AV36)</f>
        <v>131556.24999999997</v>
      </c>
      <c r="AW37" s="170">
        <f t="shared" ref="AW37" si="121">(+AW34*AW35)*(1-AW36)</f>
        <v>184906.24999999997</v>
      </c>
      <c r="AX37" s="170">
        <f t="shared" ref="AX37" si="122">(+AX34*AX35)*(1-AX36)</f>
        <v>193760.41666666663</v>
      </c>
      <c r="AY37" s="170">
        <f t="shared" ref="AY37" si="123">(+AY34*AY35)*(1-AY36)</f>
        <v>354072.91666666657</v>
      </c>
      <c r="AZ37" s="170">
        <f t="shared" ref="AZ37" si="124">(+AZ34*AZ35)*(1-AZ36)</f>
        <v>496572.91666666657</v>
      </c>
      <c r="BA37" s="170">
        <f t="shared" ref="BA37" si="125">(+BA34*BA35)*(1-BA36)</f>
        <v>591572.91666666663</v>
      </c>
      <c r="BB37" s="170">
        <f t="shared" ref="BB37" si="126">(+BB34*BB35)*(1-BB36)</f>
        <v>591572.91666666663</v>
      </c>
      <c r="BC37" s="170">
        <f t="shared" ref="BC37" si="127">(+BC34*BC35)*(1-BC36)</f>
        <v>591572.91666666663</v>
      </c>
      <c r="BD37" s="170">
        <f t="shared" ref="BD37" si="128">(+BD34*BD35)*(1-BD36)</f>
        <v>591572.91666666663</v>
      </c>
      <c r="BE37" s="119">
        <f>SUM(AS37:BD37)</f>
        <v>3727160.416666666</v>
      </c>
      <c r="BF37" s="81">
        <f>+R37/C37-1</f>
        <v>-0.50209661835748798</v>
      </c>
    </row>
  </sheetData>
  <mergeCells count="8">
    <mergeCell ref="C21:E21"/>
    <mergeCell ref="T21:AE21"/>
    <mergeCell ref="AF21:AQ21"/>
    <mergeCell ref="AS21:BE21"/>
    <mergeCell ref="C1:E1"/>
    <mergeCell ref="T1:AE1"/>
    <mergeCell ref="AF1:AQ1"/>
    <mergeCell ref="AS1:BE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82C6-43F9-48D7-A8AE-4DBCE6E99466}">
  <dimension ref="B1:Q73"/>
  <sheetViews>
    <sheetView showGridLines="0" zoomScale="85" zoomScaleNormal="85" workbookViewId="0"/>
  </sheetViews>
  <sheetFormatPr defaultColWidth="8.7109375" defaultRowHeight="11.25" x14ac:dyDescent="0.2"/>
  <cols>
    <col min="1" max="16384" width="8.7109375" style="134"/>
  </cols>
  <sheetData>
    <row r="1" spans="2:17" ht="12" thickBot="1" x14ac:dyDescent="0.25"/>
    <row r="2" spans="2:17" x14ac:dyDescent="0.2">
      <c r="B2" s="135"/>
      <c r="C2" s="136"/>
      <c r="D2" s="137"/>
      <c r="E2" s="226" t="s">
        <v>77</v>
      </c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8"/>
    </row>
    <row r="3" spans="2:17" ht="12" thickBot="1" x14ac:dyDescent="0.25">
      <c r="B3" s="128"/>
      <c r="C3" s="98"/>
      <c r="D3" s="99"/>
      <c r="E3" s="138" t="s">
        <v>40</v>
      </c>
      <c r="F3" s="139" t="s">
        <v>41</v>
      </c>
      <c r="G3" s="139" t="s">
        <v>42</v>
      </c>
      <c r="H3" s="139" t="s">
        <v>43</v>
      </c>
      <c r="I3" s="139" t="s">
        <v>44</v>
      </c>
      <c r="J3" s="139" t="s">
        <v>45</v>
      </c>
      <c r="K3" s="139" t="s">
        <v>46</v>
      </c>
      <c r="L3" s="139" t="s">
        <v>47</v>
      </c>
      <c r="M3" s="139" t="s">
        <v>48</v>
      </c>
      <c r="N3" s="139" t="s">
        <v>49</v>
      </c>
      <c r="O3" s="139" t="s">
        <v>50</v>
      </c>
      <c r="P3" s="139" t="s">
        <v>51</v>
      </c>
      <c r="Q3" s="140" t="s">
        <v>52</v>
      </c>
    </row>
    <row r="4" spans="2:17" ht="12" thickBot="1" x14ac:dyDescent="0.25">
      <c r="B4" s="128"/>
      <c r="C4" s="98"/>
      <c r="D4" s="99"/>
      <c r="E4" s="141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3"/>
    </row>
    <row r="5" spans="2:17" x14ac:dyDescent="0.2">
      <c r="B5" s="164" t="s">
        <v>58</v>
      </c>
      <c r="C5" s="136"/>
      <c r="D5" s="153">
        <v>0.9</v>
      </c>
      <c r="E5" s="154">
        <f>Výnosy!AS4*'Přímé náklady'!$D$5</f>
        <v>226794.18159650336</v>
      </c>
      <c r="F5" s="154">
        <f>Výnosy!AT4*'Přímé náklady'!$D$5</f>
        <v>228602.67024901215</v>
      </c>
      <c r="G5" s="154">
        <f>Výnosy!AU4*'Přímé náklady'!$D$5</f>
        <v>230425.58004400015</v>
      </c>
      <c r="H5" s="154">
        <f>Výnosy!AV4*'Přímé náklady'!$D$5</f>
        <v>232263.02597768261</v>
      </c>
      <c r="I5" s="154">
        <f>Výnosy!AW4*'Přímé náklady'!$D$5</f>
        <v>234115.12396327077</v>
      </c>
      <c r="J5" s="154">
        <f>Výnosy!AX4*'Přímé náklady'!$D$5</f>
        <v>235981.99083828414</v>
      </c>
      <c r="K5" s="154">
        <f>Výnosy!AY4*'Přímé náklady'!$D$5</f>
        <v>237863.74437192088</v>
      </c>
      <c r="L5" s="154">
        <f>Výnosy!AZ4*'Přímé náklady'!$D$5</f>
        <v>239760.50327248749</v>
      </c>
      <c r="M5" s="154">
        <f>Výnosy!BA4*'Přímé náklady'!$D$5</f>
        <v>241672.38719488695</v>
      </c>
      <c r="N5" s="154">
        <f>Výnosy!BB4*'Přímé náklady'!$D$5</f>
        <v>243599.51674816734</v>
      </c>
      <c r="O5" s="154">
        <f>Výnosy!BC4*'Přímé náklady'!$D$5</f>
        <v>245542.01350313035</v>
      </c>
      <c r="P5" s="154">
        <f>Výnosy!BD4*'Přímé náklady'!$D$5</f>
        <v>247500.00000000006</v>
      </c>
      <c r="Q5" s="155">
        <f>SUM(E5:P5)</f>
        <v>2844120.7377593461</v>
      </c>
    </row>
    <row r="6" spans="2:17" x14ac:dyDescent="0.2">
      <c r="B6" s="163" t="s">
        <v>59</v>
      </c>
      <c r="C6" s="98"/>
      <c r="D6" s="144">
        <v>0.88</v>
      </c>
      <c r="E6" s="145">
        <f>Výnosy!AS5*'Přímé náklady'!$D$6</f>
        <v>177801.68460703906</v>
      </c>
      <c r="F6" s="145">
        <f>Výnosy!AT5*'Přímé náklady'!$D$6</f>
        <v>179621.81277898289</v>
      </c>
      <c r="G6" s="145">
        <f>Výnosy!AU5*'Přímé náklady'!$D$6</f>
        <v>181460.5733197348</v>
      </c>
      <c r="H6" s="145">
        <f>Výnosy!AV5*'Přímé náklady'!$D$6</f>
        <v>183318.1569659544</v>
      </c>
      <c r="I6" s="145">
        <f>Výnosy!AW5*'Přímé náklady'!$D$6</f>
        <v>185194.75640684261</v>
      </c>
      <c r="J6" s="145">
        <f>Výnosy!AX5*'Přímé náklady'!$D$6</f>
        <v>187090.5663041299</v>
      </c>
      <c r="K6" s="145">
        <f>Výnosy!AY5*'Přímé náklady'!$D$6</f>
        <v>189005.78331226835</v>
      </c>
      <c r="L6" s="145">
        <f>Výnosy!AZ5*'Přímé náklady'!$D$6</f>
        <v>190940.60609883125</v>
      </c>
      <c r="M6" s="145">
        <f>Výnosy!BA5*'Přímé náklady'!$D$6</f>
        <v>192895.23536512087</v>
      </c>
      <c r="N6" s="145">
        <f>Výnosy!BB5*'Přímé náklady'!$D$6</f>
        <v>194869.87386698739</v>
      </c>
      <c r="O6" s="145">
        <f>Výnosy!BC5*'Přímé náklady'!$D$6</f>
        <v>196864.7264358612</v>
      </c>
      <c r="P6" s="145">
        <f>Výnosy!BD5*'Přímé náklady'!$D$6</f>
        <v>198880.00000000012</v>
      </c>
      <c r="Q6" s="146">
        <f t="shared" ref="Q6:Q15" si="0">SUM(E6:P6)</f>
        <v>2257943.7754617529</v>
      </c>
    </row>
    <row r="7" spans="2:17" x14ac:dyDescent="0.2">
      <c r="B7" s="163" t="s">
        <v>60</v>
      </c>
      <c r="C7" s="98"/>
      <c r="D7" s="144">
        <v>0.9</v>
      </c>
      <c r="E7" s="145">
        <f>Výnosy!AS6*'Přímé náklady'!$D$7</f>
        <v>151423.31894018748</v>
      </c>
      <c r="F7" s="145">
        <f>Výnosy!AT6*'Přímé náklady'!$D$7</f>
        <v>152860.14345907824</v>
      </c>
      <c r="G7" s="145">
        <f>Výnosy!AU6*'Přímé náklady'!$D$7</f>
        <v>154310.60170831211</v>
      </c>
      <c r="H7" s="145">
        <f>Výnosy!AV6*'Přímé náklady'!$D$7</f>
        <v>155774.8230555332</v>
      </c>
      <c r="I7" s="145">
        <f>Výnosy!AW6*'Přímé náklady'!$D$7</f>
        <v>157252.93809592846</v>
      </c>
      <c r="J7" s="145">
        <f>Výnosy!AX6*'Přímé náklady'!$D$7</f>
        <v>158745.07866387552</v>
      </c>
      <c r="K7" s="145">
        <f>Výnosy!AY6*'Přímé náklady'!$D$7</f>
        <v>160251.37784470111</v>
      </c>
      <c r="L7" s="145">
        <f>Výnosy!AZ6*'Přímé náklady'!$D$7</f>
        <v>161771.96998655112</v>
      </c>
      <c r="M7" s="145">
        <f>Výnosy!BA6*'Přímé náklady'!$D$7</f>
        <v>163306.99071237308</v>
      </c>
      <c r="N7" s="145">
        <f>Výnosy!BB6*'Přímé náklady'!$D$7</f>
        <v>164856.57693201269</v>
      </c>
      <c r="O7" s="145">
        <f>Výnosy!BC6*'Přímé náklady'!$D$7</f>
        <v>166420.86685442473</v>
      </c>
      <c r="P7" s="145">
        <f>Výnosy!BD6*'Přímé náklady'!$D$7</f>
        <v>168000.00000000017</v>
      </c>
      <c r="Q7" s="146">
        <f t="shared" si="0"/>
        <v>1914974.6862529782</v>
      </c>
    </row>
    <row r="8" spans="2:17" x14ac:dyDescent="0.2">
      <c r="B8" s="163" t="s">
        <v>61</v>
      </c>
      <c r="C8" s="98"/>
      <c r="D8" s="144">
        <v>0.95</v>
      </c>
      <c r="E8" s="145">
        <f>Výnosy!AS7*'Přímé náklady'!$D$8</f>
        <v>280329.34156320937</v>
      </c>
      <c r="F8" s="145">
        <f>Výnosy!AT7*'Přímé náklady'!$D$8</f>
        <v>283613.37650981959</v>
      </c>
      <c r="G8" s="145">
        <f>Výnosy!AU7*'Přímé náklady'!$D$8</f>
        <v>286935.88365299121</v>
      </c>
      <c r="H8" s="145">
        <f>Výnosy!AV7*'Přímé náklady'!$D$8</f>
        <v>290297.3136913107</v>
      </c>
      <c r="I8" s="145">
        <f>Výnosy!AW7*'Přímé náklady'!$D$8</f>
        <v>293698.12260326109</v>
      </c>
      <c r="J8" s="145">
        <f>Výnosy!AX7*'Přímé náklady'!$D$8</f>
        <v>297138.7717090752</v>
      </c>
      <c r="K8" s="145">
        <f>Výnosy!AY7*'Přímé náklady'!$D$8</f>
        <v>300619.72773331427</v>
      </c>
      <c r="L8" s="145">
        <f>Výnosy!AZ7*'Přímé náklady'!$D$8</f>
        <v>304141.46286817902</v>
      </c>
      <c r="M8" s="145">
        <f>Výnosy!BA7*'Přímé náklady'!$D$8</f>
        <v>307704.45483756234</v>
      </c>
      <c r="N8" s="145">
        <f>Výnosy!BB7*'Přímé náklady'!$D$8</f>
        <v>311309.18696185324</v>
      </c>
      <c r="O8" s="145">
        <f>Výnosy!BC7*'Přímé náklady'!$D$8</f>
        <v>314956.14822349843</v>
      </c>
      <c r="P8" s="145">
        <f>Výnosy!BD7*'Přímé náklady'!$D$8</f>
        <v>318645.83333333372</v>
      </c>
      <c r="Q8" s="146">
        <f t="shared" si="0"/>
        <v>3589389.6236874089</v>
      </c>
    </row>
    <row r="9" spans="2:17" x14ac:dyDescent="0.2">
      <c r="B9" s="163" t="s">
        <v>62</v>
      </c>
      <c r="C9" s="98"/>
      <c r="D9" s="144">
        <v>0.95</v>
      </c>
      <c r="E9" s="145">
        <f>Výnosy!AS8*'Přímé náklady'!$D$9</f>
        <v>216254.06349161864</v>
      </c>
      <c r="F9" s="145">
        <f>Výnosy!AT8*'Přímé náklady'!$D$9</f>
        <v>218787.46187900368</v>
      </c>
      <c r="G9" s="145">
        <f>Výnosy!AU8*'Přímé náklady'!$D$9</f>
        <v>221350.5388180218</v>
      </c>
      <c r="H9" s="145">
        <f>Výnosy!AV8*'Přímé náklady'!$D$9</f>
        <v>223943.6419904397</v>
      </c>
      <c r="I9" s="145">
        <f>Výnosy!AW8*'Přímé náklady'!$D$9</f>
        <v>226567.12315108711</v>
      </c>
      <c r="J9" s="145">
        <f>Výnosy!AX8*'Přímé náklady'!$D$9</f>
        <v>229221.33817557228</v>
      </c>
      <c r="K9" s="145">
        <f>Výnosy!AY8*'Přímé náklady'!$D$9</f>
        <v>231906.64710855673</v>
      </c>
      <c r="L9" s="145">
        <f>Výnosy!AZ8*'Přímé náklady'!$D$9</f>
        <v>234623.41421259523</v>
      </c>
      <c r="M9" s="145">
        <f>Výnosy!BA8*'Přímé náklady'!$D$9</f>
        <v>237372.00801754816</v>
      </c>
      <c r="N9" s="145">
        <f>Výnosy!BB8*'Přímé náklady'!$D$9</f>
        <v>240152.8013705725</v>
      </c>
      <c r="O9" s="145">
        <f>Výnosy!BC8*'Přímé náklady'!$D$9</f>
        <v>242966.17148669882</v>
      </c>
      <c r="P9" s="145">
        <f>Výnosy!BD8*'Přímé náklady'!$D$9</f>
        <v>245812.50000000035</v>
      </c>
      <c r="Q9" s="146">
        <f t="shared" si="0"/>
        <v>2768957.709701715</v>
      </c>
    </row>
    <row r="10" spans="2:17" x14ac:dyDescent="0.2">
      <c r="B10" s="163" t="s">
        <v>63</v>
      </c>
      <c r="C10" s="98"/>
      <c r="D10" s="144">
        <v>0.9</v>
      </c>
      <c r="E10" s="145">
        <f>Výnosy!AS9*'Přímé náklady'!$D$10</f>
        <v>47319.78716880858</v>
      </c>
      <c r="F10" s="145">
        <f>Výnosy!AT9*'Přímé náklady'!$D$10</f>
        <v>47768.794830961953</v>
      </c>
      <c r="G10" s="145">
        <f>Výnosy!AU9*'Přímé náklady'!$D$10</f>
        <v>48222.063033847524</v>
      </c>
      <c r="H10" s="145">
        <f>Výnosy!AV9*'Přímé náklady'!$D$10</f>
        <v>48679.632204854119</v>
      </c>
      <c r="I10" s="145">
        <f>Výnosy!AW9*'Přímé náklady'!$D$10</f>
        <v>49141.543154977633</v>
      </c>
      <c r="J10" s="145">
        <f>Výnosy!AX9*'Přímé náklady'!$D$10</f>
        <v>49607.837082461097</v>
      </c>
      <c r="K10" s="145">
        <f>Výnosy!AY9*'Přímé náklady'!$D$10</f>
        <v>50078.555576469109</v>
      </c>
      <c r="L10" s="145">
        <f>Výnosy!AZ9*'Přímé náklady'!$D$10</f>
        <v>50553.740620797231</v>
      </c>
      <c r="M10" s="145">
        <f>Výnosy!BA9*'Přímé náklady'!$D$10</f>
        <v>51033.434597616586</v>
      </c>
      <c r="N10" s="145">
        <f>Výnosy!BB9*'Přímé náklady'!$D$10</f>
        <v>51517.680291253957</v>
      </c>
      <c r="O10" s="145">
        <f>Výnosy!BC9*'Přímé náklady'!$D$10</f>
        <v>52006.520892007728</v>
      </c>
      <c r="P10" s="145">
        <f>Výnosy!BD9*'Přímé náklady'!$D$10</f>
        <v>52500.000000000036</v>
      </c>
      <c r="Q10" s="146">
        <f t="shared" si="0"/>
        <v>598429.58945405553</v>
      </c>
    </row>
    <row r="11" spans="2:17" x14ac:dyDescent="0.2">
      <c r="B11" s="163" t="s">
        <v>64</v>
      </c>
      <c r="C11" s="98"/>
      <c r="D11" s="144">
        <v>0.85</v>
      </c>
      <c r="E11" s="145">
        <f>Výnosy!AS10*'Přímé náklady'!$D$11</f>
        <v>51406.68116187409</v>
      </c>
      <c r="F11" s="145">
        <f>Výnosy!AT10*'Přímé náklady'!$D$11</f>
        <v>51816.605256442752</v>
      </c>
      <c r="G11" s="145">
        <f>Výnosy!AU10*'Přímé náklady'!$D$11</f>
        <v>52229.798143306703</v>
      </c>
      <c r="H11" s="145">
        <f>Výnosy!AV10*'Přímé náklady'!$D$11</f>
        <v>52646.285888274724</v>
      </c>
      <c r="I11" s="145">
        <f>Výnosy!AW10*'Přímé náklady'!$D$11</f>
        <v>53066.094765008042</v>
      </c>
      <c r="J11" s="145">
        <f>Výnosy!AX10*'Přímé náklady'!$D$11</f>
        <v>53489.25125667773</v>
      </c>
      <c r="K11" s="145">
        <f>Výnosy!AY10*'Přímé náklady'!$D$11</f>
        <v>53915.782057635392</v>
      </c>
      <c r="L11" s="145">
        <f>Výnosy!AZ10*'Přímé náklady'!$D$11</f>
        <v>54345.714075097152</v>
      </c>
      <c r="M11" s="145">
        <f>Výnosy!BA10*'Přímé náklady'!$D$11</f>
        <v>54779.074430841029</v>
      </c>
      <c r="N11" s="145">
        <f>Výnosy!BB10*'Přímé náklady'!$D$11</f>
        <v>55215.890462917931</v>
      </c>
      <c r="O11" s="145">
        <f>Výnosy!BC10*'Přímé náklady'!$D$11</f>
        <v>55656.189727376201</v>
      </c>
      <c r="P11" s="145">
        <f>Výnosy!BD10*'Přímé náklady'!$D$11</f>
        <v>56100.000000000007</v>
      </c>
      <c r="Q11" s="146">
        <f t="shared" si="0"/>
        <v>644667.36722545174</v>
      </c>
    </row>
    <row r="12" spans="2:17" x14ac:dyDescent="0.2">
      <c r="B12" s="163" t="s">
        <v>65</v>
      </c>
      <c r="C12" s="98"/>
      <c r="D12" s="144">
        <v>0.85</v>
      </c>
      <c r="E12" s="145">
        <f>Výnosy!AS11*'Přímé náklady'!$D$12</f>
        <v>17135.560387291363</v>
      </c>
      <c r="F12" s="145">
        <f>Výnosy!AT11*'Přímé náklady'!$D$12</f>
        <v>17272.201752147583</v>
      </c>
      <c r="G12" s="145">
        <f>Výnosy!AU11*'Přímé náklady'!$D$12</f>
        <v>17409.93271443557</v>
      </c>
      <c r="H12" s="145">
        <f>Výnosy!AV11*'Přímé náklady'!$D$12</f>
        <v>17548.761962758243</v>
      </c>
      <c r="I12" s="145">
        <f>Výnosy!AW11*'Přímé náklady'!$D$12</f>
        <v>17688.698255002684</v>
      </c>
      <c r="J12" s="145">
        <f>Výnosy!AX11*'Přímé náklady'!$D$12</f>
        <v>17829.750418892578</v>
      </c>
      <c r="K12" s="145">
        <f>Výnosy!AY11*'Přímé náklady'!$D$12</f>
        <v>17971.927352545135</v>
      </c>
      <c r="L12" s="145">
        <f>Výnosy!AZ11*'Přímé náklady'!$D$12</f>
        <v>18115.238025032388</v>
      </c>
      <c r="M12" s="145">
        <f>Výnosy!BA11*'Přímé náklady'!$D$12</f>
        <v>18259.69147694701</v>
      </c>
      <c r="N12" s="145">
        <f>Výnosy!BB11*'Přímé náklady'!$D$12</f>
        <v>18405.296820972642</v>
      </c>
      <c r="O12" s="145">
        <f>Výnosy!BC11*'Přímé náklady'!$D$12</f>
        <v>18552.063242458735</v>
      </c>
      <c r="P12" s="145">
        <f>Výnosy!BD11*'Přímé náklady'!$D$12</f>
        <v>18700.000000000007</v>
      </c>
      <c r="Q12" s="146">
        <f t="shared" si="0"/>
        <v>214889.12240848393</v>
      </c>
    </row>
    <row r="13" spans="2:17" x14ac:dyDescent="0.2">
      <c r="B13" s="163" t="s">
        <v>66</v>
      </c>
      <c r="C13" s="98"/>
      <c r="D13" s="144">
        <v>0.95</v>
      </c>
      <c r="E13" s="145">
        <f>Výnosy!AS12*'Přímé náklady'!$D$13</f>
        <v>14363.631501111879</v>
      </c>
      <c r="F13" s="145">
        <f>Výnosy!AT12*'Přímé náklady'!$D$13</f>
        <v>14478.169115770772</v>
      </c>
      <c r="G13" s="145">
        <f>Výnosy!AU12*'Přímé náklady'!$D$13</f>
        <v>14593.620069453347</v>
      </c>
      <c r="H13" s="145">
        <f>Výnosy!AV12*'Přímé náklady'!$D$13</f>
        <v>14709.991645253238</v>
      </c>
      <c r="I13" s="145">
        <f>Výnosy!AW12*'Přímé náklady'!$D$13</f>
        <v>14827.291184340487</v>
      </c>
      <c r="J13" s="145">
        <f>Výnosy!AX12*'Přímé náklady'!$D$13</f>
        <v>14945.526086424665</v>
      </c>
      <c r="K13" s="145">
        <f>Výnosy!AY12*'Přímé náklady'!$D$13</f>
        <v>15064.703810221663</v>
      </c>
      <c r="L13" s="145">
        <f>Výnosy!AZ12*'Přímé náklady'!$D$13</f>
        <v>15184.831873924211</v>
      </c>
      <c r="M13" s="145">
        <f>Výnosy!BA12*'Přímé náklady'!$D$13</f>
        <v>15305.917855676176</v>
      </c>
      <c r="N13" s="145">
        <f>Výnosy!BB12*'Přímé náklady'!$D$13</f>
        <v>15427.969394050604</v>
      </c>
      <c r="O13" s="145">
        <f>Výnosy!BC12*'Přímé náklady'!$D$13</f>
        <v>15550.994188531593</v>
      </c>
      <c r="P13" s="145">
        <f>Výnosy!BD12*'Přímé náklady'!$D$13</f>
        <v>15675.000000000009</v>
      </c>
      <c r="Q13" s="146">
        <f t="shared" si="0"/>
        <v>180127.64672475861</v>
      </c>
    </row>
    <row r="14" spans="2:17" x14ac:dyDescent="0.2">
      <c r="B14" s="163" t="s">
        <v>67</v>
      </c>
      <c r="C14" s="98"/>
      <c r="D14" s="144">
        <v>0.9</v>
      </c>
      <c r="E14" s="145">
        <f>Výnosy!AS13*'Přímé náklady'!$D$14</f>
        <v>10205.73817184265</v>
      </c>
      <c r="F14" s="145">
        <f>Výnosy!AT13*'Přímé náklady'!$D$14</f>
        <v>10287.120161205545</v>
      </c>
      <c r="G14" s="145">
        <f>Výnosy!AU13*'Přímé náklady'!$D$14</f>
        <v>10369.151101980007</v>
      </c>
      <c r="H14" s="145">
        <f>Výnosy!AV13*'Přímé náklady'!$D$14</f>
        <v>10451.836168995716</v>
      </c>
      <c r="I14" s="145">
        <f>Výnosy!AW13*'Přímé náklady'!$D$14</f>
        <v>10535.180578347185</v>
      </c>
      <c r="J14" s="145">
        <f>Výnosy!AX13*'Přímé náklady'!$D$14</f>
        <v>10619.189587722783</v>
      </c>
      <c r="K14" s="145">
        <f>Výnosy!AY13*'Přímé náklady'!$D$14</f>
        <v>10703.868496736439</v>
      </c>
      <c r="L14" s="145">
        <f>Výnosy!AZ13*'Přímé náklady'!$D$14</f>
        <v>10789.222647261935</v>
      </c>
      <c r="M14" s="145">
        <f>Výnosy!BA13*'Přímé náklady'!$D$14</f>
        <v>10875.25742376991</v>
      </c>
      <c r="N14" s="145">
        <f>Výnosy!BB13*'Přímé náklady'!$D$14</f>
        <v>10961.978253667528</v>
      </c>
      <c r="O14" s="145">
        <f>Výnosy!BC13*'Přímé náklady'!$D$14</f>
        <v>11049.390607640864</v>
      </c>
      <c r="P14" s="145">
        <f>Výnosy!BD13*'Přímé náklady'!$D$14</f>
        <v>11137.500000000002</v>
      </c>
      <c r="Q14" s="146">
        <f t="shared" si="0"/>
        <v>127985.43319917057</v>
      </c>
    </row>
    <row r="15" spans="2:17" ht="12" thickBot="1" x14ac:dyDescent="0.25">
      <c r="B15" s="166" t="s">
        <v>68</v>
      </c>
      <c r="C15" s="151"/>
      <c r="D15" s="156">
        <v>0.95</v>
      </c>
      <c r="E15" s="157">
        <f>Výnosy!AS14*'Přímé náklady'!$D$15</f>
        <v>8937.3707118029452</v>
      </c>
      <c r="F15" s="157">
        <f>Výnosy!AT14*'Přímé náklady'!$D$15</f>
        <v>9008.6385609240333</v>
      </c>
      <c r="G15" s="157">
        <f>Výnosy!AU14*'Přímé náklady'!$D$15</f>
        <v>9080.474709882079</v>
      </c>
      <c r="H15" s="157">
        <f>Výnosy!AV14*'Přímé náklady'!$D$15</f>
        <v>9152.8836903797874</v>
      </c>
      <c r="I15" s="157">
        <f>Výnosy!AW14*'Přímé náklady'!$D$15</f>
        <v>9225.8700702563001</v>
      </c>
      <c r="J15" s="157">
        <f>Výnosy!AX14*'Přímé náklady'!$D$15</f>
        <v>9299.4384537753431</v>
      </c>
      <c r="K15" s="157">
        <f>Výnosy!AY14*'Přímé náklady'!$D$15</f>
        <v>9373.5934819156955</v>
      </c>
      <c r="L15" s="157">
        <f>Výnosy!AZ14*'Přímé náklady'!$D$15</f>
        <v>9448.339832663949</v>
      </c>
      <c r="M15" s="157">
        <f>Výnosy!BA14*'Přímé náklady'!$D$15</f>
        <v>9523.6822213096166</v>
      </c>
      <c r="N15" s="157">
        <f>Výnosy!BB14*'Přímé náklady'!$D$15</f>
        <v>9599.6254007425941</v>
      </c>
      <c r="O15" s="157">
        <f>Výnosy!BC14*'Přímé náklady'!$D$15</f>
        <v>9676.174161752986</v>
      </c>
      <c r="P15" s="157">
        <f>Výnosy!BD14*'Přímé náklady'!$D$15</f>
        <v>9753.3333333333339</v>
      </c>
      <c r="Q15" s="158">
        <f t="shared" si="0"/>
        <v>112079.42462873866</v>
      </c>
    </row>
    <row r="16" spans="2:17" x14ac:dyDescent="0.2">
      <c r="B16" s="141"/>
      <c r="C16" s="98"/>
      <c r="D16" s="99"/>
      <c r="E16" s="147">
        <f t="shared" ref="E16:P16" si="1">SUM(E5:E15)</f>
        <v>1201971.3593012895</v>
      </c>
      <c r="F16" s="148">
        <f t="shared" si="1"/>
        <v>1214116.994553349</v>
      </c>
      <c r="G16" s="148">
        <f t="shared" si="1"/>
        <v>1226388.2173159651</v>
      </c>
      <c r="H16" s="148">
        <f t="shared" si="1"/>
        <v>1238786.3532414364</v>
      </c>
      <c r="I16" s="148">
        <f t="shared" si="1"/>
        <v>1251312.7422283227</v>
      </c>
      <c r="J16" s="148">
        <f t="shared" si="1"/>
        <v>1263968.7385768911</v>
      </c>
      <c r="K16" s="148">
        <f t="shared" si="1"/>
        <v>1276755.7111462851</v>
      </c>
      <c r="L16" s="148">
        <f t="shared" si="1"/>
        <v>1289675.0435134212</v>
      </c>
      <c r="M16" s="148">
        <f t="shared" si="1"/>
        <v>1302728.1341336516</v>
      </c>
      <c r="N16" s="148">
        <f t="shared" si="1"/>
        <v>1315916.3965031984</v>
      </c>
      <c r="O16" s="148">
        <f>SUM(O5:O15)</f>
        <v>1329241.2593233816</v>
      </c>
      <c r="P16" s="148">
        <f t="shared" si="1"/>
        <v>1342704.1666666677</v>
      </c>
      <c r="Q16" s="146">
        <f>SUM(E16:P16)</f>
        <v>15253565.116503859</v>
      </c>
    </row>
    <row r="17" spans="2:17" x14ac:dyDescent="0.2">
      <c r="B17" s="141"/>
      <c r="C17" s="98"/>
      <c r="D17" s="99"/>
      <c r="E17" s="132">
        <v>1</v>
      </c>
      <c r="F17" s="79">
        <v>1</v>
      </c>
      <c r="G17" s="79">
        <v>1</v>
      </c>
      <c r="H17" s="79">
        <v>1</v>
      </c>
      <c r="I17" s="79">
        <v>1</v>
      </c>
      <c r="J17" s="79">
        <v>1</v>
      </c>
      <c r="K17" s="79">
        <v>1</v>
      </c>
      <c r="L17" s="79">
        <v>1</v>
      </c>
      <c r="M17" s="79">
        <v>1</v>
      </c>
      <c r="N17" s="79">
        <v>1</v>
      </c>
      <c r="O17" s="79">
        <v>1</v>
      </c>
      <c r="P17" s="80">
        <v>1</v>
      </c>
      <c r="Q17" s="118"/>
    </row>
    <row r="18" spans="2:17" x14ac:dyDescent="0.2">
      <c r="B18" s="141"/>
      <c r="C18" s="98"/>
      <c r="D18" s="99"/>
      <c r="E18" s="169">
        <v>0.03</v>
      </c>
      <c r="F18" s="169">
        <v>0.03</v>
      </c>
      <c r="G18" s="169">
        <v>0.03</v>
      </c>
      <c r="H18" s="169">
        <v>0.03</v>
      </c>
      <c r="I18" s="169">
        <v>0.03</v>
      </c>
      <c r="J18" s="169">
        <v>0.05</v>
      </c>
      <c r="K18" s="169">
        <v>0.05</v>
      </c>
      <c r="L18" s="169">
        <v>0.05</v>
      </c>
      <c r="M18" s="169">
        <v>0.05</v>
      </c>
      <c r="N18" s="169">
        <v>0.05</v>
      </c>
      <c r="O18" s="169">
        <v>0.05</v>
      </c>
      <c r="P18" s="169">
        <v>0.05</v>
      </c>
      <c r="Q18" s="118"/>
    </row>
    <row r="19" spans="2:17" ht="12" thickBot="1" x14ac:dyDescent="0.25">
      <c r="B19" s="141"/>
      <c r="C19" s="98"/>
      <c r="D19" s="99"/>
      <c r="E19" s="147">
        <f>(+E16*E17)*(1-E18)</f>
        <v>1165912.2185222509</v>
      </c>
      <c r="F19" s="148">
        <f>(+F16*F17)*(1-F18)</f>
        <v>1177693.4847167486</v>
      </c>
      <c r="G19" s="148">
        <f t="shared" ref="G19" si="2">(+G16*G17)*(1-G18)</f>
        <v>1189596.5707964862</v>
      </c>
      <c r="H19" s="148">
        <f>(+H16*H17)*(1-H18)</f>
        <v>1201622.7626441934</v>
      </c>
      <c r="I19" s="148">
        <f t="shared" ref="I19:P19" si="3">(+I16*I17)*(1-I18)</f>
        <v>1213773.3599614729</v>
      </c>
      <c r="J19" s="148">
        <f t="shared" si="3"/>
        <v>1200770.3016480466</v>
      </c>
      <c r="K19" s="148">
        <f t="shared" si="3"/>
        <v>1212917.9255889708</v>
      </c>
      <c r="L19" s="148">
        <f t="shared" si="3"/>
        <v>1225191.2913377502</v>
      </c>
      <c r="M19" s="148">
        <f t="shared" si="3"/>
        <v>1237591.727426969</v>
      </c>
      <c r="N19" s="148">
        <f t="shared" si="3"/>
        <v>1250120.5766780383</v>
      </c>
      <c r="O19" s="148">
        <f t="shared" si="3"/>
        <v>1262779.1963572125</v>
      </c>
      <c r="P19" s="148">
        <f t="shared" si="3"/>
        <v>1275568.9583333342</v>
      </c>
      <c r="Q19" s="149">
        <f>SUM(E19:P19)</f>
        <v>14613538.374011474</v>
      </c>
    </row>
    <row r="20" spans="2:17" x14ac:dyDescent="0.2">
      <c r="B20" s="141"/>
      <c r="C20" s="98"/>
      <c r="D20" s="99"/>
      <c r="E20" s="226" t="s">
        <v>78</v>
      </c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8"/>
    </row>
    <row r="21" spans="2:17" ht="12" thickBot="1" x14ac:dyDescent="0.25">
      <c r="B21" s="141"/>
      <c r="C21" s="98"/>
      <c r="D21" s="99"/>
      <c r="E21" s="138" t="s">
        <v>40</v>
      </c>
      <c r="F21" s="139" t="s">
        <v>41</v>
      </c>
      <c r="G21" s="139" t="s">
        <v>42</v>
      </c>
      <c r="H21" s="139" t="s">
        <v>43</v>
      </c>
      <c r="I21" s="139" t="s">
        <v>44</v>
      </c>
      <c r="J21" s="139" t="s">
        <v>45</v>
      </c>
      <c r="K21" s="139" t="s">
        <v>46</v>
      </c>
      <c r="L21" s="139" t="s">
        <v>47</v>
      </c>
      <c r="M21" s="139" t="s">
        <v>48</v>
      </c>
      <c r="N21" s="139" t="s">
        <v>49</v>
      </c>
      <c r="O21" s="139" t="s">
        <v>50</v>
      </c>
      <c r="P21" s="139" t="s">
        <v>51</v>
      </c>
      <c r="Q21" s="140" t="s">
        <v>52</v>
      </c>
    </row>
    <row r="22" spans="2:17" ht="12" thickBot="1" x14ac:dyDescent="0.25">
      <c r="B22" s="141"/>
      <c r="C22" s="98"/>
      <c r="D22" s="99"/>
      <c r="E22" s="141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3"/>
    </row>
    <row r="23" spans="2:17" x14ac:dyDescent="0.2">
      <c r="B23" s="164" t="s">
        <v>58</v>
      </c>
      <c r="C23" s="136"/>
      <c r="D23" s="137"/>
      <c r="E23" s="154">
        <f>Výnosy!AS4-'Přímé náklady'!E5</f>
        <v>25199.353510722576</v>
      </c>
      <c r="F23" s="154">
        <f>Výnosy!AT4-'Přímé náklady'!F5</f>
        <v>25400.296694334684</v>
      </c>
      <c r="G23" s="154">
        <f>Výnosy!AU4-'Přímé náklady'!G5</f>
        <v>25602.842227111134</v>
      </c>
      <c r="H23" s="154">
        <f>Výnosy!AV4-'Přímé náklady'!H5</f>
        <v>25807.002886409173</v>
      </c>
      <c r="I23" s="154">
        <f>Výnosy!AW4-'Přímé náklady'!I5</f>
        <v>26012.791551474511</v>
      </c>
      <c r="J23" s="154">
        <f>Výnosy!AX4-'Přímé náklady'!J5</f>
        <v>26220.221204253787</v>
      </c>
      <c r="K23" s="154">
        <f>Výnosy!AY4-'Přímé náklady'!K5</f>
        <v>26429.304930213431</v>
      </c>
      <c r="L23" s="154">
        <f>Výnosy!AZ4-'Přímé náklady'!L5</f>
        <v>26640.055919165257</v>
      </c>
      <c r="M23" s="154">
        <f>Výnosy!BA4-'Přímé náklady'!M5</f>
        <v>26852.487466098537</v>
      </c>
      <c r="N23" s="154">
        <f>Výnosy!BB4-'Přímé náklady'!N5</f>
        <v>27066.6129720186</v>
      </c>
      <c r="O23" s="154">
        <f>Výnosy!BC4-'Přímé náklady'!O5</f>
        <v>27282.445944792242</v>
      </c>
      <c r="P23" s="154">
        <f>Výnosy!BD4-'Přímé náklady'!P5</f>
        <v>27500</v>
      </c>
      <c r="Q23" s="155">
        <f t="shared" ref="Q23:Q33" si="4">SUM(E23:P23)</f>
        <v>316013.41530659393</v>
      </c>
    </row>
    <row r="24" spans="2:17" x14ac:dyDescent="0.2">
      <c r="B24" s="163" t="s">
        <v>59</v>
      </c>
      <c r="C24" s="98"/>
      <c r="D24" s="99"/>
      <c r="E24" s="145">
        <f>Výnosy!AS5-'Přímé náklady'!E6</f>
        <v>24245.684264596232</v>
      </c>
      <c r="F24" s="145">
        <f>Výnosy!AT5-'Přímé náklady'!F6</f>
        <v>24493.883560770395</v>
      </c>
      <c r="G24" s="145">
        <f>Výnosy!AU5-'Přímé náklady'!G6</f>
        <v>24744.623634509306</v>
      </c>
      <c r="H24" s="145">
        <f>Výnosy!AV5-'Přímé náklady'!H6</f>
        <v>24997.930495357432</v>
      </c>
      <c r="I24" s="145">
        <f>Výnosy!AW5-'Přímé náklady'!I6</f>
        <v>25253.830419114907</v>
      </c>
      <c r="J24" s="145">
        <f>Výnosy!AX5-'Přímé náklady'!J6</f>
        <v>25512.349950563163</v>
      </c>
      <c r="K24" s="145">
        <f>Výnosy!AY5-'Přímé náklady'!K6</f>
        <v>25773.51590621841</v>
      </c>
      <c r="L24" s="145">
        <f>Výnosy!AZ5-'Přímé náklady'!L6</f>
        <v>26037.355377113359</v>
      </c>
      <c r="M24" s="145">
        <f>Výnosy!BA5-'Přímé náklady'!M6</f>
        <v>26303.895731607394</v>
      </c>
      <c r="N24" s="145">
        <f>Výnosy!BB5-'Přímé náklady'!N6</f>
        <v>26573.164618225564</v>
      </c>
      <c r="O24" s="145">
        <f>Výnosy!BC5-'Přímé náklady'!O6</f>
        <v>26845.189968526538</v>
      </c>
      <c r="P24" s="145">
        <f>Výnosy!BD5-'Přímé náklady'!P6</f>
        <v>27120</v>
      </c>
      <c r="Q24" s="146">
        <f t="shared" si="4"/>
        <v>307901.4239266027</v>
      </c>
    </row>
    <row r="25" spans="2:17" x14ac:dyDescent="0.2">
      <c r="B25" s="163" t="s">
        <v>60</v>
      </c>
      <c r="C25" s="98"/>
      <c r="D25" s="99"/>
      <c r="E25" s="145">
        <f>Výnosy!AS6-'Přímé náklady'!E7</f>
        <v>16824.813215576374</v>
      </c>
      <c r="F25" s="145">
        <f>Výnosy!AT6-'Přímé náklady'!F7</f>
        <v>16984.460384342034</v>
      </c>
      <c r="G25" s="145">
        <f>Výnosy!AU6-'Přímé náklady'!G7</f>
        <v>17145.62241203466</v>
      </c>
      <c r="H25" s="145">
        <f>Výnosy!AV6-'Přímé náklady'!H7</f>
        <v>17308.313672837015</v>
      </c>
      <c r="I25" s="145">
        <f>Výnosy!AW6-'Přímé náklady'!I7</f>
        <v>17472.548677325365</v>
      </c>
      <c r="J25" s="145">
        <f>Výnosy!AX6-'Přímé náklady'!J7</f>
        <v>17638.342073763954</v>
      </c>
      <c r="K25" s="145">
        <f>Výnosy!AY6-'Přímé náklady'!K7</f>
        <v>17805.708649411215</v>
      </c>
      <c r="L25" s="145">
        <f>Výnosy!AZ6-'Přímé náklady'!L7</f>
        <v>17974.663331838994</v>
      </c>
      <c r="M25" s="145">
        <f>Výnosy!BA6-'Přímé náklady'!M7</f>
        <v>18145.221190263663</v>
      </c>
      <c r="N25" s="145">
        <f>Výnosy!BB6-'Přímé náklady'!N7</f>
        <v>18317.397436890285</v>
      </c>
      <c r="O25" s="145">
        <f>Výnosy!BC6-'Přímé náklady'!O7</f>
        <v>18491.207428269408</v>
      </c>
      <c r="P25" s="145">
        <f>Výnosy!BD6-'Přímé náklady'!P7</f>
        <v>18666.666666666686</v>
      </c>
      <c r="Q25" s="146">
        <f t="shared" si="4"/>
        <v>212774.96513921965</v>
      </c>
    </row>
    <row r="26" spans="2:17" x14ac:dyDescent="0.2">
      <c r="B26" s="163" t="s">
        <v>61</v>
      </c>
      <c r="C26" s="98"/>
      <c r="D26" s="99"/>
      <c r="E26" s="145">
        <f>Výnosy!AS7-'Přímé náklady'!E8</f>
        <v>14754.175871747895</v>
      </c>
      <c r="F26" s="145">
        <f>Výnosy!AT7-'Přímé náklady'!F8</f>
        <v>14927.019816306303</v>
      </c>
      <c r="G26" s="145">
        <f>Výnosy!AU7-'Přímé náklady'!G8</f>
        <v>15101.888613315357</v>
      </c>
      <c r="H26" s="145">
        <f>Výnosy!AV7-'Přímé náklady'!H8</f>
        <v>15278.805983753235</v>
      </c>
      <c r="I26" s="145">
        <f>Výnosy!AW7-'Přímé náklady'!I8</f>
        <v>15457.795926487423</v>
      </c>
      <c r="J26" s="145">
        <f>Výnosy!AX7-'Přímé náklady'!J8</f>
        <v>15638.882721530274</v>
      </c>
      <c r="K26" s="145">
        <f>Výnosy!AY7-'Přímé náklady'!K8</f>
        <v>15822.090933332336</v>
      </c>
      <c r="L26" s="145">
        <f>Výnosy!AZ7-'Přímé náklady'!L8</f>
        <v>16007.445414114685</v>
      </c>
      <c r="M26" s="145">
        <f>Výnosy!BA7-'Přímé náklady'!M8</f>
        <v>16194.971307240136</v>
      </c>
      <c r="N26" s="145">
        <f>Výnosy!BB7-'Přímé náklady'!N8</f>
        <v>16384.694050623861</v>
      </c>
      <c r="O26" s="145">
        <f>Výnosy!BC7-'Přímé náklady'!O8</f>
        <v>16576.639380184119</v>
      </c>
      <c r="P26" s="145">
        <f>Výnosy!BD7-'Přímé náklady'!P8</f>
        <v>16770.833333333372</v>
      </c>
      <c r="Q26" s="146">
        <f t="shared" si="4"/>
        <v>188915.24335196899</v>
      </c>
    </row>
    <row r="27" spans="2:17" x14ac:dyDescent="0.2">
      <c r="B27" s="163" t="s">
        <v>62</v>
      </c>
      <c r="C27" s="98"/>
      <c r="D27" s="99"/>
      <c r="E27" s="145">
        <f>Výnosy!AS8-'Přímé náklady'!E9</f>
        <v>11381.792815348366</v>
      </c>
      <c r="F27" s="145">
        <f>Výnosy!AT8-'Přímé náklady'!F9</f>
        <v>11515.129572579142</v>
      </c>
      <c r="G27" s="145">
        <f>Výnosy!AU8-'Přímé náklady'!G9</f>
        <v>11650.028358843265</v>
      </c>
      <c r="H27" s="145">
        <f>Výnosy!AV8-'Přímé náklady'!H9</f>
        <v>11786.50747318106</v>
      </c>
      <c r="I27" s="145">
        <f>Výnosy!AW8-'Přímé náklady'!I9</f>
        <v>11924.585429004597</v>
      </c>
      <c r="J27" s="145">
        <f>Výnosy!AX8-'Přímé náklady'!J9</f>
        <v>12064.280956609087</v>
      </c>
      <c r="K27" s="145">
        <f>Výnosy!AY8-'Přímé náklady'!K9</f>
        <v>12205.613005713531</v>
      </c>
      <c r="L27" s="145">
        <f>Výnosy!AZ8-'Přímé náklady'!L9</f>
        <v>12348.600748031342</v>
      </c>
      <c r="M27" s="145">
        <f>Výnosy!BA8-'Přímé náklady'!M9</f>
        <v>12493.263579870953</v>
      </c>
      <c r="N27" s="145">
        <f>Výnosy!BB8-'Přímé náklady'!N9</f>
        <v>12639.621124766971</v>
      </c>
      <c r="O27" s="145">
        <f>Výnosy!BC8-'Přímé náklady'!O9</f>
        <v>12787.693236142048</v>
      </c>
      <c r="P27" s="145">
        <f>Výnosy!BD8-'Přímé náklady'!P9</f>
        <v>12937.500000000029</v>
      </c>
      <c r="Q27" s="146">
        <f t="shared" si="4"/>
        <v>145734.61630009039</v>
      </c>
    </row>
    <row r="28" spans="2:17" x14ac:dyDescent="0.2">
      <c r="B28" s="163" t="s">
        <v>63</v>
      </c>
      <c r="C28" s="98"/>
      <c r="D28" s="99"/>
      <c r="E28" s="145">
        <f>Výnosy!AS9-'Přímé náklady'!E10</f>
        <v>5257.7541298676151</v>
      </c>
      <c r="F28" s="145">
        <f>Výnosy!AT9-'Přímé náklady'!F10</f>
        <v>5307.6438701068837</v>
      </c>
      <c r="G28" s="145">
        <f>Výnosy!AU9-'Přímé náklady'!G10</f>
        <v>5358.0070037608311</v>
      </c>
      <c r="H28" s="145">
        <f>Výnosy!AV9-'Přímé náklady'!H10</f>
        <v>5408.8480227615655</v>
      </c>
      <c r="I28" s="145">
        <f>Výnosy!AW9-'Přímé náklady'!I10</f>
        <v>5460.1714616641766</v>
      </c>
      <c r="J28" s="145">
        <f>Výnosy!AX9-'Přímé náklady'!J10</f>
        <v>5511.9818980512282</v>
      </c>
      <c r="K28" s="145">
        <f>Výnosy!AY9-'Přímé náklady'!K10</f>
        <v>5564.2839529410121</v>
      </c>
      <c r="L28" s="145">
        <f>Výnosy!AZ9-'Přímé náklady'!L10</f>
        <v>5617.0822911996875</v>
      </c>
      <c r="M28" s="145">
        <f>Výnosy!BA9-'Přímé náklady'!M10</f>
        <v>5670.3816219574001</v>
      </c>
      <c r="N28" s="145">
        <f>Výnosy!BB9-'Přímé náklady'!N10</f>
        <v>5724.1866990282142</v>
      </c>
      <c r="O28" s="145">
        <f>Výnosy!BC9-'Přímé náklady'!O10</f>
        <v>5778.5023213341919</v>
      </c>
      <c r="P28" s="145">
        <f>Výnosy!BD9-'Přímé náklady'!P10</f>
        <v>5833.3333333333358</v>
      </c>
      <c r="Q28" s="146">
        <f t="shared" si="4"/>
        <v>66492.176606006135</v>
      </c>
    </row>
    <row r="29" spans="2:17" x14ac:dyDescent="0.2">
      <c r="B29" s="163" t="s">
        <v>64</v>
      </c>
      <c r="C29" s="98"/>
      <c r="D29" s="99"/>
      <c r="E29" s="145">
        <f>Výnosy!AS10-'Přímé náklady'!E11</f>
        <v>9071.7672638601362</v>
      </c>
      <c r="F29" s="145">
        <f>Výnosy!AT10-'Přímé náklady'!F11</f>
        <v>9144.106809960489</v>
      </c>
      <c r="G29" s="145">
        <f>Výnosy!AU10-'Přímé náklady'!G11</f>
        <v>9217.0232017600065</v>
      </c>
      <c r="H29" s="145">
        <f>Výnosy!AV10-'Přímé náklady'!H11</f>
        <v>9290.5210391073051</v>
      </c>
      <c r="I29" s="145">
        <f>Výnosy!AW10-'Přímé náklady'!I11</f>
        <v>9364.6049585308356</v>
      </c>
      <c r="J29" s="145">
        <f>Výnosy!AX10-'Přímé náklady'!J11</f>
        <v>9439.2796335313615</v>
      </c>
      <c r="K29" s="145">
        <f>Výnosy!AY10-'Přímé náklady'!K11</f>
        <v>9514.5497748768394</v>
      </c>
      <c r="L29" s="145">
        <f>Výnosy!AZ10-'Přímé náklady'!L11</f>
        <v>9590.4201308994961</v>
      </c>
      <c r="M29" s="145">
        <f>Výnosy!BA10-'Přímé náklady'!M11</f>
        <v>9666.8954877954748</v>
      </c>
      <c r="N29" s="145">
        <f>Výnosy!BB10-'Přímé náklady'!N11</f>
        <v>9743.9806699266919</v>
      </c>
      <c r="O29" s="145">
        <f>Výnosy!BC10-'Přímé náklady'!O11</f>
        <v>9821.6805401252132</v>
      </c>
      <c r="P29" s="145">
        <f>Výnosy!BD10-'Přímé náklady'!P11</f>
        <v>9900.0000000000073</v>
      </c>
      <c r="Q29" s="146">
        <f t="shared" si="4"/>
        <v>113764.82951037385</v>
      </c>
    </row>
    <row r="30" spans="2:17" x14ac:dyDescent="0.2">
      <c r="B30" s="163" t="s">
        <v>65</v>
      </c>
      <c r="C30" s="98"/>
      <c r="D30" s="99"/>
      <c r="E30" s="145">
        <f>Výnosy!AS11-'Přímé náklady'!E12</f>
        <v>3023.9224212867121</v>
      </c>
      <c r="F30" s="145">
        <f>Výnosy!AT11-'Přímé náklady'!F12</f>
        <v>3048.0356033201642</v>
      </c>
      <c r="G30" s="145">
        <f>Výnosy!AU11-'Přímé náklady'!G12</f>
        <v>3072.3410672533355</v>
      </c>
      <c r="H30" s="145">
        <f>Výnosy!AV11-'Přímé náklady'!H12</f>
        <v>3096.8403463691029</v>
      </c>
      <c r="I30" s="145">
        <f>Výnosy!AW11-'Přímé náklady'!I12</f>
        <v>3121.5349861769428</v>
      </c>
      <c r="J30" s="145">
        <f>Výnosy!AX11-'Přímé náklady'!J12</f>
        <v>3146.4265445104575</v>
      </c>
      <c r="K30" s="145">
        <f>Výnosy!AY11-'Přímé náklady'!K12</f>
        <v>3171.5165916256119</v>
      </c>
      <c r="L30" s="145">
        <f>Výnosy!AZ11-'Přímé náklady'!L12</f>
        <v>3196.806710299832</v>
      </c>
      <c r="M30" s="145">
        <f>Výnosy!BA11-'Přímé náklady'!M12</f>
        <v>3222.2984959318273</v>
      </c>
      <c r="N30" s="145">
        <f>Výnosy!BB11-'Přímé náklady'!N12</f>
        <v>3247.9935566422319</v>
      </c>
      <c r="O30" s="145">
        <f>Výnosy!BC11-'Přímé náklady'!O12</f>
        <v>3273.8935133750711</v>
      </c>
      <c r="P30" s="145">
        <f>Výnosy!BD11-'Přímé náklady'!P12</f>
        <v>3300</v>
      </c>
      <c r="Q30" s="146">
        <f t="shared" si="4"/>
        <v>37921.609836791293</v>
      </c>
    </row>
    <row r="31" spans="2:17" x14ac:dyDescent="0.2">
      <c r="B31" s="163" t="s">
        <v>66</v>
      </c>
      <c r="C31" s="98"/>
      <c r="D31" s="99"/>
      <c r="E31" s="145">
        <f>Výnosy!AS12-'Přímé náklady'!E13</f>
        <v>755.98060532167801</v>
      </c>
      <c r="F31" s="145">
        <f>Výnosy!AT12-'Přímé náklady'!F13</f>
        <v>762.00890083004197</v>
      </c>
      <c r="G31" s="145">
        <f>Výnosy!AU12-'Přímé náklady'!G13</f>
        <v>768.08526681333387</v>
      </c>
      <c r="H31" s="145">
        <f>Výnosy!AV12-'Přímé náklady'!H13</f>
        <v>774.21008659227664</v>
      </c>
      <c r="I31" s="145">
        <f>Výnosy!AW12-'Přímé náklady'!I13</f>
        <v>780.38374654423751</v>
      </c>
      <c r="J31" s="145">
        <f>Výnosy!AX12-'Přímé náklady'!J13</f>
        <v>786.60663612761527</v>
      </c>
      <c r="K31" s="145">
        <f>Výnosy!AY12-'Přímé náklady'!K13</f>
        <v>792.87914790640389</v>
      </c>
      <c r="L31" s="145">
        <f>Výnosy!AZ12-'Přímé náklady'!L13</f>
        <v>799.20167757495983</v>
      </c>
      <c r="M31" s="145">
        <f>Výnosy!BA12-'Přímé náklady'!M13</f>
        <v>805.57462398295684</v>
      </c>
      <c r="N31" s="145">
        <f>Výnosy!BB12-'Přímé náklady'!N13</f>
        <v>811.99838916055887</v>
      </c>
      <c r="O31" s="145">
        <f>Výnosy!BC12-'Přímé náklady'!O13</f>
        <v>818.47337834376958</v>
      </c>
      <c r="P31" s="145">
        <f>Výnosy!BD12-'Přímé náklady'!P13</f>
        <v>825.00000000000182</v>
      </c>
      <c r="Q31" s="146">
        <f t="shared" si="4"/>
        <v>9480.4024591978341</v>
      </c>
    </row>
    <row r="32" spans="2:17" x14ac:dyDescent="0.2">
      <c r="B32" s="163" t="s">
        <v>67</v>
      </c>
      <c r="C32" s="98"/>
      <c r="D32" s="99"/>
      <c r="E32" s="145">
        <f>Výnosy!AS13-'Přímé náklady'!E14</f>
        <v>1133.970907982517</v>
      </c>
      <c r="F32" s="145">
        <f>Výnosy!AT13-'Přímé náklady'!F14</f>
        <v>1143.0133512450611</v>
      </c>
      <c r="G32" s="145">
        <f>Výnosy!AU13-'Přímé náklady'!G14</f>
        <v>1152.1279002200008</v>
      </c>
      <c r="H32" s="145">
        <f>Výnosy!AV13-'Přímé náklady'!H14</f>
        <v>1161.3151298884131</v>
      </c>
      <c r="I32" s="145">
        <f>Výnosy!AW13-'Přímé náklady'!I14</f>
        <v>1170.5756198163544</v>
      </c>
      <c r="J32" s="145">
        <f>Výnosy!AX13-'Přímé náklady'!J14</f>
        <v>1179.9099541914202</v>
      </c>
      <c r="K32" s="145">
        <f>Výnosy!AY13-'Přímé náklady'!K14</f>
        <v>1189.3187218596049</v>
      </c>
      <c r="L32" s="145">
        <f>Výnosy!AZ13-'Přímé náklady'!L14</f>
        <v>1198.802516362437</v>
      </c>
      <c r="M32" s="145">
        <f>Výnosy!BA13-'Přímé náklady'!M14</f>
        <v>1208.3619359744334</v>
      </c>
      <c r="N32" s="145">
        <f>Výnosy!BB13-'Přímé náklady'!N14</f>
        <v>1217.9975837408365</v>
      </c>
      <c r="O32" s="145">
        <f>Výnosy!BC13-'Přímé náklady'!O14</f>
        <v>1227.7100675156507</v>
      </c>
      <c r="P32" s="145">
        <f>Výnosy!BD13-'Přímé náklady'!P14</f>
        <v>1237.5</v>
      </c>
      <c r="Q32" s="146">
        <f t="shared" si="4"/>
        <v>14220.603688796729</v>
      </c>
    </row>
    <row r="33" spans="2:17" ht="12" thickBot="1" x14ac:dyDescent="0.25">
      <c r="B33" s="163" t="s">
        <v>68</v>
      </c>
      <c r="C33" s="151"/>
      <c r="D33" s="99"/>
      <c r="E33" s="145">
        <f>Výnosy!AS14-'Přímé náklady'!E15</f>
        <v>470.38793220015577</v>
      </c>
      <c r="F33" s="145">
        <f>Výnosy!AT14-'Přímé náklady'!F15</f>
        <v>474.13887162758147</v>
      </c>
      <c r="G33" s="145">
        <f>Výnosy!AU14-'Přímé náklady'!G15</f>
        <v>477.91972157274176</v>
      </c>
      <c r="H33" s="145">
        <f>Výnosy!AV14-'Přímé náklady'!H15</f>
        <v>481.73072054630575</v>
      </c>
      <c r="I33" s="145">
        <f>Výnosy!AW14-'Přímé náklady'!I15</f>
        <v>485.5721089608578</v>
      </c>
      <c r="J33" s="145">
        <f>Výnosy!AX14-'Přímé náklady'!J15</f>
        <v>489.44412914607165</v>
      </c>
      <c r="K33" s="145">
        <f>Výnosy!AY14-'Přímé náklady'!K15</f>
        <v>493.34702536398436</v>
      </c>
      <c r="L33" s="145">
        <f>Výnosy!AZ14-'Přímé náklady'!L15</f>
        <v>497.28104382441961</v>
      </c>
      <c r="M33" s="145">
        <f>Výnosy!BA14-'Přímé náklady'!M15</f>
        <v>501.24643270050728</v>
      </c>
      <c r="N33" s="145">
        <f>Výnosy!BB14-'Přímé náklady'!N15</f>
        <v>505.24344214434677</v>
      </c>
      <c r="O33" s="145">
        <f>Výnosy!BC14-'Přímé náklady'!O15</f>
        <v>509.27232430278855</v>
      </c>
      <c r="P33" s="145">
        <f>Výnosy!BD14-'Přímé náklady'!P15</f>
        <v>513.33333333333394</v>
      </c>
      <c r="Q33" s="146">
        <f t="shared" si="4"/>
        <v>5898.9170857230947</v>
      </c>
    </row>
    <row r="34" spans="2:17" ht="12" thickBot="1" x14ac:dyDescent="0.25">
      <c r="B34" s="165"/>
      <c r="C34" s="151"/>
      <c r="D34" s="152"/>
      <c r="E34" s="161">
        <f t="shared" ref="E34:P34" si="5">SUM(E23:E33)</f>
        <v>112119.60293851026</v>
      </c>
      <c r="F34" s="162">
        <f t="shared" si="5"/>
        <v>113199.73743542278</v>
      </c>
      <c r="G34" s="162">
        <f t="shared" si="5"/>
        <v>114290.50940719398</v>
      </c>
      <c r="H34" s="162">
        <f t="shared" si="5"/>
        <v>115392.02585680288</v>
      </c>
      <c r="I34" s="162">
        <f t="shared" si="5"/>
        <v>116504.39488510019</v>
      </c>
      <c r="J34" s="162">
        <f t="shared" si="5"/>
        <v>117627.7257022784</v>
      </c>
      <c r="K34" s="162">
        <f t="shared" si="5"/>
        <v>118762.12863946237</v>
      </c>
      <c r="L34" s="162">
        <f t="shared" si="5"/>
        <v>119907.71516042447</v>
      </c>
      <c r="M34" s="162">
        <f t="shared" si="5"/>
        <v>121064.59787342328</v>
      </c>
      <c r="N34" s="162">
        <f t="shared" si="5"/>
        <v>122232.89054316818</v>
      </c>
      <c r="O34" s="162">
        <f t="shared" si="5"/>
        <v>123412.70810291106</v>
      </c>
      <c r="P34" s="162">
        <f t="shared" si="5"/>
        <v>124604.16666666676</v>
      </c>
      <c r="Q34" s="158">
        <f>SUM(E34:P34)</f>
        <v>1419118.2032113646</v>
      </c>
    </row>
    <row r="35" spans="2:17" x14ac:dyDescent="0.2">
      <c r="B35" s="128"/>
      <c r="C35" s="98"/>
      <c r="D35" s="99"/>
      <c r="E35" s="159">
        <v>1</v>
      </c>
      <c r="F35" s="160">
        <v>1</v>
      </c>
      <c r="G35" s="160">
        <v>1</v>
      </c>
      <c r="H35" s="160">
        <v>1</v>
      </c>
      <c r="I35" s="160">
        <v>1</v>
      </c>
      <c r="J35" s="160">
        <v>1</v>
      </c>
      <c r="K35" s="160">
        <v>1</v>
      </c>
      <c r="L35" s="160">
        <v>1</v>
      </c>
      <c r="M35" s="160">
        <v>1</v>
      </c>
      <c r="N35" s="160">
        <v>1</v>
      </c>
      <c r="O35" s="160">
        <v>1</v>
      </c>
      <c r="P35" s="80">
        <v>1</v>
      </c>
      <c r="Q35" s="118"/>
    </row>
    <row r="36" spans="2:17" x14ac:dyDescent="0.2">
      <c r="B36" s="128"/>
      <c r="C36" s="98"/>
      <c r="D36" s="99"/>
      <c r="E36" s="169">
        <v>0.03</v>
      </c>
      <c r="F36" s="169">
        <v>0.03</v>
      </c>
      <c r="G36" s="169">
        <v>0.03</v>
      </c>
      <c r="H36" s="169">
        <v>0.03</v>
      </c>
      <c r="I36" s="169">
        <v>0.03</v>
      </c>
      <c r="J36" s="169">
        <v>0.05</v>
      </c>
      <c r="K36" s="169">
        <v>0.05</v>
      </c>
      <c r="L36" s="169">
        <v>0.05</v>
      </c>
      <c r="M36" s="169">
        <v>0.05</v>
      </c>
      <c r="N36" s="169">
        <v>0.05</v>
      </c>
      <c r="O36" s="169">
        <v>0.05</v>
      </c>
      <c r="P36" s="169">
        <v>0.05</v>
      </c>
      <c r="Q36" s="118"/>
    </row>
    <row r="37" spans="2:17" ht="12" thickBot="1" x14ac:dyDescent="0.25">
      <c r="B37" s="150"/>
      <c r="C37" s="151"/>
      <c r="D37" s="152"/>
      <c r="E37" s="147">
        <f>(+E34*E35)*(1-E36)</f>
        <v>108756.01485035494</v>
      </c>
      <c r="F37" s="148">
        <f>(+F34*F35)*(1-F36)</f>
        <v>109803.74531236009</v>
      </c>
      <c r="G37" s="148">
        <f t="shared" ref="G37" si="6">(+G34*G35)*(1-G36)</f>
        <v>110861.79412497816</v>
      </c>
      <c r="H37" s="148">
        <f>(+H34*H35)*(1-H36)</f>
        <v>111930.2650810988</v>
      </c>
      <c r="I37" s="148">
        <f t="shared" ref="I37" si="7">(+I34*I35)*(1-I36)</f>
        <v>113009.26303854719</v>
      </c>
      <c r="J37" s="148">
        <f t="shared" ref="J37" si="8">(+J34*J35)*(1-J36)</f>
        <v>111746.33941716448</v>
      </c>
      <c r="K37" s="148">
        <f t="shared" ref="K37" si="9">(+K34*K35)*(1-K36)</f>
        <v>112824.02220748925</v>
      </c>
      <c r="L37" s="148">
        <f t="shared" ref="L37" si="10">(+L34*L35)*(1-L36)</f>
        <v>113912.32940240324</v>
      </c>
      <c r="M37" s="148">
        <f t="shared" ref="M37" si="11">(+M34*M35)*(1-M36)</f>
        <v>115011.3679797521</v>
      </c>
      <c r="N37" s="148">
        <f t="shared" ref="N37" si="12">(+N34*N35)*(1-N36)</f>
        <v>116121.24601600977</v>
      </c>
      <c r="O37" s="148">
        <f t="shared" ref="O37" si="13">(+O34*O35)*(1-O36)</f>
        <v>117242.0726977655</v>
      </c>
      <c r="P37" s="148">
        <f t="shared" ref="P37" si="14">(+P34*P35)*(1-P36)</f>
        <v>118373.95833333342</v>
      </c>
      <c r="Q37" s="149">
        <f>SUM(E37:P37)</f>
        <v>1359592.4184612569</v>
      </c>
    </row>
    <row r="39" spans="2:17" ht="12" thickBot="1" x14ac:dyDescent="0.25"/>
    <row r="40" spans="2:17" x14ac:dyDescent="0.2">
      <c r="B40" s="135"/>
      <c r="C40" s="136"/>
      <c r="D40" s="137"/>
      <c r="E40" s="226" t="s">
        <v>79</v>
      </c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8"/>
    </row>
    <row r="41" spans="2:17" ht="12" thickBot="1" x14ac:dyDescent="0.25">
      <c r="B41" s="128"/>
      <c r="C41" s="98"/>
      <c r="D41" s="99"/>
      <c r="E41" s="138" t="s">
        <v>40</v>
      </c>
      <c r="F41" s="139" t="s">
        <v>41</v>
      </c>
      <c r="G41" s="139" t="s">
        <v>42</v>
      </c>
      <c r="H41" s="139" t="s">
        <v>43</v>
      </c>
      <c r="I41" s="139" t="s">
        <v>44</v>
      </c>
      <c r="J41" s="139" t="s">
        <v>45</v>
      </c>
      <c r="K41" s="139" t="s">
        <v>46</v>
      </c>
      <c r="L41" s="139" t="s">
        <v>47</v>
      </c>
      <c r="M41" s="139" t="s">
        <v>48</v>
      </c>
      <c r="N41" s="139" t="s">
        <v>49</v>
      </c>
      <c r="O41" s="139" t="s">
        <v>50</v>
      </c>
      <c r="P41" s="139" t="s">
        <v>51</v>
      </c>
      <c r="Q41" s="140" t="s">
        <v>52</v>
      </c>
    </row>
    <row r="42" spans="2:17" ht="12" thickBot="1" x14ac:dyDescent="0.25">
      <c r="B42" s="128"/>
      <c r="C42" s="98"/>
      <c r="D42" s="99"/>
      <c r="E42" s="141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/>
    </row>
    <row r="43" spans="2:17" x14ac:dyDescent="0.2">
      <c r="B43" s="164" t="s">
        <v>58</v>
      </c>
      <c r="C43" s="136"/>
      <c r="D43" s="153">
        <v>0.9</v>
      </c>
      <c r="E43" s="154">
        <f>Výnosy!AS24*'Přímé náklady'!$D$43</f>
        <v>0</v>
      </c>
      <c r="F43" s="154">
        <f>Výnosy!AT24*'Přímé náklady'!$D$43</f>
        <v>0</v>
      </c>
      <c r="G43" s="154">
        <f>Výnosy!AU24*'Přímé náklady'!$D$43</f>
        <v>0</v>
      </c>
      <c r="H43" s="154">
        <f>Výnosy!AV24*'Přímé náklady'!$D$43</f>
        <v>0</v>
      </c>
      <c r="I43" s="154">
        <f>Výnosy!AW24*'Přímé náklady'!$D$43</f>
        <v>0</v>
      </c>
      <c r="J43" s="154">
        <f>Výnosy!AX24*'Přímé náklady'!$D$43</f>
        <v>0</v>
      </c>
      <c r="K43" s="154">
        <f>Výnosy!AY24*'Přímé náklady'!$D$43</f>
        <v>151874.99999999997</v>
      </c>
      <c r="L43" s="154">
        <f>Výnosy!AZ24*'Přímé náklady'!$D$43</f>
        <v>151874.99999999997</v>
      </c>
      <c r="M43" s="154">
        <f>Výnosy!BA24*'Přímé náklady'!$D$43</f>
        <v>151874.99999999997</v>
      </c>
      <c r="N43" s="154">
        <f>Výnosy!BB24*'Přímé náklady'!$D$43</f>
        <v>151874.99999999997</v>
      </c>
      <c r="O43" s="154">
        <f>Výnosy!BC24*'Přímé náklady'!$D$43</f>
        <v>151874.99999999997</v>
      </c>
      <c r="P43" s="154">
        <f>Výnosy!BD24*'Přímé náklady'!$D$43</f>
        <v>151874.99999999997</v>
      </c>
      <c r="Q43" s="155">
        <f t="shared" ref="Q43:Q52" si="15">SUM(E43:P43)</f>
        <v>911249.99999999988</v>
      </c>
    </row>
    <row r="44" spans="2:17" x14ac:dyDescent="0.2">
      <c r="B44" s="163" t="s">
        <v>59</v>
      </c>
      <c r="C44" s="98"/>
      <c r="D44" s="144">
        <v>0.9</v>
      </c>
      <c r="E44" s="145">
        <f>Výnosy!AS25*'Přímé náklady'!$D$44</f>
        <v>0</v>
      </c>
      <c r="F44" s="145">
        <f>Výnosy!AT25*'Přímé náklady'!$D$44</f>
        <v>0</v>
      </c>
      <c r="G44" s="145">
        <f>Výnosy!AU25*'Přímé náklady'!$D$44</f>
        <v>0</v>
      </c>
      <c r="H44" s="145">
        <f>Výnosy!AV25*'Přímé náklady'!$D$44</f>
        <v>0</v>
      </c>
      <c r="I44" s="145">
        <f>Výnosy!AW25*'Přímé náklady'!$D$44</f>
        <v>0</v>
      </c>
      <c r="J44" s="145">
        <f>Výnosy!AX25*'Přímé náklady'!$D$44</f>
        <v>0</v>
      </c>
      <c r="K44" s="145">
        <f>Výnosy!AY25*'Přímé náklady'!$D$44</f>
        <v>0</v>
      </c>
      <c r="L44" s="145">
        <f>Výnosy!AZ25*'Přímé náklady'!$D$44</f>
        <v>134999.99999999997</v>
      </c>
      <c r="M44" s="145">
        <f>Výnosy!BA25*'Přímé náklady'!$D$44</f>
        <v>134999.99999999997</v>
      </c>
      <c r="N44" s="145">
        <f>Výnosy!BB25*'Přímé náklady'!$D$44</f>
        <v>134999.99999999997</v>
      </c>
      <c r="O44" s="145">
        <f>Výnosy!BC25*'Přímé náklady'!$D$44</f>
        <v>134999.99999999997</v>
      </c>
      <c r="P44" s="145">
        <f>Výnosy!BD25*'Přímé náklady'!$D$44</f>
        <v>134999.99999999997</v>
      </c>
      <c r="Q44" s="146">
        <f t="shared" si="15"/>
        <v>674999.99999999988</v>
      </c>
    </row>
    <row r="45" spans="2:17" x14ac:dyDescent="0.2">
      <c r="B45" s="163" t="s">
        <v>60</v>
      </c>
      <c r="C45" s="98"/>
      <c r="D45" s="144">
        <v>0.9</v>
      </c>
      <c r="E45" s="145">
        <f>Výnosy!AS26*'Přímé náklady'!$D$45</f>
        <v>0</v>
      </c>
      <c r="F45" s="145">
        <f>Výnosy!AT26*'Přímé náklady'!$D$45</f>
        <v>0</v>
      </c>
      <c r="G45" s="145">
        <f>Výnosy!AU26*'Přímé náklady'!$D$45</f>
        <v>0</v>
      </c>
      <c r="H45" s="145">
        <f>Výnosy!AV26*'Přímé náklady'!$D$45</f>
        <v>70874.999999999985</v>
      </c>
      <c r="I45" s="145">
        <f>Výnosy!AW26*'Přímé náklady'!$D$45</f>
        <v>70874.999999999985</v>
      </c>
      <c r="J45" s="145">
        <f>Výnosy!AX26*'Přímé náklady'!$D$45</f>
        <v>70874.999999999985</v>
      </c>
      <c r="K45" s="145">
        <f>Výnosy!AY26*'Přímé náklady'!$D$45</f>
        <v>70874.999999999985</v>
      </c>
      <c r="L45" s="145">
        <f>Výnosy!AZ26*'Přímé náklady'!$D$45</f>
        <v>70874.999999999985</v>
      </c>
      <c r="M45" s="145">
        <f>Výnosy!BA26*'Přímé náklady'!$D$45</f>
        <v>70874.999999999985</v>
      </c>
      <c r="N45" s="145">
        <f>Výnosy!BB26*'Přímé náklady'!$D$45</f>
        <v>70874.999999999985</v>
      </c>
      <c r="O45" s="145">
        <f>Výnosy!BC26*'Přímé náklady'!$D$45</f>
        <v>70874.999999999985</v>
      </c>
      <c r="P45" s="145">
        <f>Výnosy!BD26*'Přímé náklady'!$D$45</f>
        <v>70874.999999999985</v>
      </c>
      <c r="Q45" s="146">
        <f t="shared" si="15"/>
        <v>637874.99999999988</v>
      </c>
    </row>
    <row r="46" spans="2:17" x14ac:dyDescent="0.2">
      <c r="B46" s="163" t="s">
        <v>61</v>
      </c>
      <c r="C46" s="98"/>
      <c r="D46" s="144">
        <v>0.9</v>
      </c>
      <c r="E46" s="145">
        <f>Výnosy!AS27*'Přímé náklady'!$D$46</f>
        <v>0</v>
      </c>
      <c r="F46" s="145">
        <f>Výnosy!AT27*'Přímé náklady'!$D$46</f>
        <v>0</v>
      </c>
      <c r="G46" s="145">
        <f>Výnosy!AU27*'Přímé náklady'!$D$46</f>
        <v>0</v>
      </c>
      <c r="H46" s="145">
        <f>Výnosy!AV27*'Přímé náklady'!$D$46</f>
        <v>28687.499999999993</v>
      </c>
      <c r="I46" s="145">
        <f>Výnosy!AW27*'Přímé náklady'!$D$46</f>
        <v>28687.499999999993</v>
      </c>
      <c r="J46" s="145">
        <f>Výnosy!AX27*'Přímé náklady'!$D$46</f>
        <v>28687.499999999993</v>
      </c>
      <c r="K46" s="145">
        <f>Výnosy!AY27*'Přímé náklady'!$D$46</f>
        <v>28687.499999999993</v>
      </c>
      <c r="L46" s="145">
        <f>Výnosy!AZ27*'Přímé náklady'!$D$46</f>
        <v>28687.499999999993</v>
      </c>
      <c r="M46" s="145">
        <f>Výnosy!BA27*'Přímé náklady'!$D$46</f>
        <v>28687.499999999993</v>
      </c>
      <c r="N46" s="145">
        <f>Výnosy!BB27*'Přímé náklady'!$D$46</f>
        <v>28687.499999999993</v>
      </c>
      <c r="O46" s="145">
        <f>Výnosy!BC27*'Přímé náklady'!$D$46</f>
        <v>28687.499999999993</v>
      </c>
      <c r="P46" s="145">
        <f>Výnosy!BD27*'Přímé náklady'!$D$46</f>
        <v>28687.499999999993</v>
      </c>
      <c r="Q46" s="146">
        <f t="shared" si="15"/>
        <v>258187.49999999997</v>
      </c>
    </row>
    <row r="47" spans="2:17" x14ac:dyDescent="0.2">
      <c r="B47" s="163" t="s">
        <v>62</v>
      </c>
      <c r="C47" s="98"/>
      <c r="D47" s="144">
        <v>0.9</v>
      </c>
      <c r="E47" s="145">
        <f>Výnosy!AS28*'Přímé náklady'!$D$47</f>
        <v>0</v>
      </c>
      <c r="F47" s="145">
        <f>Výnosy!AT28*'Přímé náklady'!$D$47</f>
        <v>0</v>
      </c>
      <c r="G47" s="145">
        <f>Výnosy!AU28*'Přímé náklady'!$D$47</f>
        <v>0</v>
      </c>
      <c r="H47" s="145">
        <f>Výnosy!AV28*'Přímé náklady'!$D$47</f>
        <v>0</v>
      </c>
      <c r="I47" s="145">
        <f>Výnosy!AW28*'Přímé náklady'!$D$47</f>
        <v>37500.000000000007</v>
      </c>
      <c r="J47" s="145">
        <f>Výnosy!AX28*'Přímé náklady'!$D$47</f>
        <v>37500.000000000007</v>
      </c>
      <c r="K47" s="145">
        <f>Výnosy!AY28*'Přímé náklady'!$D$47</f>
        <v>37500.000000000007</v>
      </c>
      <c r="L47" s="145">
        <f>Výnosy!AZ28*'Přímé náklady'!$D$47</f>
        <v>37500.000000000007</v>
      </c>
      <c r="M47" s="145">
        <f>Výnosy!BA28*'Přímé náklady'!$D$47</f>
        <v>37500.000000000007</v>
      </c>
      <c r="N47" s="145">
        <f>Výnosy!BB28*'Přímé náklady'!$D$47</f>
        <v>37500.000000000007</v>
      </c>
      <c r="O47" s="145">
        <f>Výnosy!BC28*'Přímé náklady'!$D$47</f>
        <v>37500.000000000007</v>
      </c>
      <c r="P47" s="145">
        <f>Výnosy!BD28*'Přímé náklady'!$D$47</f>
        <v>37500.000000000007</v>
      </c>
      <c r="Q47" s="146">
        <f t="shared" si="15"/>
        <v>300000.00000000006</v>
      </c>
    </row>
    <row r="48" spans="2:17" x14ac:dyDescent="0.2">
      <c r="B48" s="163" t="s">
        <v>63</v>
      </c>
      <c r="C48" s="98"/>
      <c r="D48" s="144">
        <v>0.9</v>
      </c>
      <c r="E48" s="145">
        <f>Výnosy!AS29*'Přímé náklady'!$D$48</f>
        <v>0</v>
      </c>
      <c r="F48" s="145">
        <f>Výnosy!AT29*'Přímé náklady'!$D$48</f>
        <v>0</v>
      </c>
      <c r="G48" s="145">
        <f>Výnosy!AU29*'Přímé náklady'!$D$48</f>
        <v>0</v>
      </c>
      <c r="H48" s="145">
        <f>Výnosy!AV29*'Přímé náklady'!$D$48</f>
        <v>22500</v>
      </c>
      <c r="I48" s="145">
        <f>Výnosy!AW29*'Přímé náklady'!$D$48</f>
        <v>22500</v>
      </c>
      <c r="J48" s="145">
        <f>Výnosy!AX29*'Přímé náklady'!$D$48</f>
        <v>22500</v>
      </c>
      <c r="K48" s="145">
        <f>Výnosy!AY29*'Přímé náklady'!$D$48</f>
        <v>22500</v>
      </c>
      <c r="L48" s="145">
        <f>Výnosy!AZ29*'Přímé náklady'!$D$48</f>
        <v>22500</v>
      </c>
      <c r="M48" s="145">
        <f>Výnosy!BA29*'Přímé náklady'!$D$48</f>
        <v>22500</v>
      </c>
      <c r="N48" s="145">
        <f>Výnosy!BB29*'Přímé náklady'!$D$48</f>
        <v>22500</v>
      </c>
      <c r="O48" s="145">
        <f>Výnosy!BC29*'Přímé náklady'!$D$48</f>
        <v>22500</v>
      </c>
      <c r="P48" s="145">
        <f>Výnosy!BD29*'Přímé náklady'!$D$48</f>
        <v>22500</v>
      </c>
      <c r="Q48" s="146">
        <f t="shared" si="15"/>
        <v>202500</v>
      </c>
    </row>
    <row r="49" spans="2:17" x14ac:dyDescent="0.2">
      <c r="B49" s="163" t="s">
        <v>64</v>
      </c>
      <c r="C49" s="98"/>
      <c r="D49" s="144">
        <v>0.9</v>
      </c>
      <c r="E49" s="145">
        <f>Výnosy!AS30*'Přímé náklady'!$D$49</f>
        <v>0</v>
      </c>
      <c r="F49" s="145">
        <f>Výnosy!AT30*'Přímé náklady'!$D$49</f>
        <v>0</v>
      </c>
      <c r="G49" s="145">
        <f>Výnosy!AU30*'Přímé náklady'!$D$49</f>
        <v>0</v>
      </c>
      <c r="H49" s="145">
        <f>Výnosy!AV30*'Přímé náklady'!$D$49</f>
        <v>0</v>
      </c>
      <c r="I49" s="145">
        <f>Výnosy!AW30*'Přímé náklady'!$D$49</f>
        <v>0</v>
      </c>
      <c r="J49" s="145">
        <f>Výnosy!AX30*'Přímé náklady'!$D$49</f>
        <v>12000.000000000002</v>
      </c>
      <c r="K49" s="145">
        <f>Výnosy!AY30*'Přímé náklady'!$D$49</f>
        <v>12000.000000000002</v>
      </c>
      <c r="L49" s="145">
        <f>Výnosy!AZ30*'Přímé náklady'!$D$49</f>
        <v>12000.000000000002</v>
      </c>
      <c r="M49" s="145">
        <f>Výnosy!BA30*'Přímé náklady'!$D$49</f>
        <v>12000.000000000002</v>
      </c>
      <c r="N49" s="145">
        <f>Výnosy!BB30*'Přímé náklady'!$D$49</f>
        <v>12000.000000000002</v>
      </c>
      <c r="O49" s="145">
        <f>Výnosy!BC30*'Přímé náklady'!$D$49</f>
        <v>12000.000000000002</v>
      </c>
      <c r="P49" s="145">
        <f>Výnosy!BD30*'Přímé náklady'!$D$49</f>
        <v>12000.000000000002</v>
      </c>
      <c r="Q49" s="146">
        <f t="shared" si="15"/>
        <v>84000.000000000015</v>
      </c>
    </row>
    <row r="50" spans="2:17" x14ac:dyDescent="0.2">
      <c r="B50" s="163" t="s">
        <v>65</v>
      </c>
      <c r="C50" s="98"/>
      <c r="D50" s="144">
        <v>0.9</v>
      </c>
      <c r="E50" s="145">
        <f>Výnosy!AS31*'Přímé náklady'!$D$49</f>
        <v>0</v>
      </c>
      <c r="F50" s="145">
        <f>Výnosy!AT31*'Přímé náklady'!$D$49</f>
        <v>0</v>
      </c>
      <c r="G50" s="145">
        <f>Výnosy!AU31*'Přímé náklady'!$D$49</f>
        <v>0</v>
      </c>
      <c r="H50" s="145">
        <f>Výnosy!AV31*'Přímé náklady'!$D$49</f>
        <v>0</v>
      </c>
      <c r="I50" s="145">
        <f>Výnosy!AW31*'Přímé náklady'!$D$49</f>
        <v>0</v>
      </c>
      <c r="J50" s="145">
        <f>Výnosy!AX31*'Přímé náklady'!$D$49</f>
        <v>0</v>
      </c>
      <c r="K50" s="145">
        <f>Výnosy!AY31*'Přímé náklady'!$D$49</f>
        <v>0</v>
      </c>
      <c r="L50" s="145">
        <f>Výnosy!AZ31*'Přímé náklady'!$D$49</f>
        <v>0</v>
      </c>
      <c r="M50" s="145">
        <f>Výnosy!BA31*'Přímé náklady'!$D$49</f>
        <v>45000</v>
      </c>
      <c r="N50" s="145">
        <f>Výnosy!BB31*'Přímé náklady'!$D$49</f>
        <v>45000</v>
      </c>
      <c r="O50" s="145">
        <f>Výnosy!BC31*'Přímé náklady'!$D$49</f>
        <v>45000</v>
      </c>
      <c r="P50" s="145">
        <f>Výnosy!BD31*'Přímé náklady'!$D$49</f>
        <v>45000</v>
      </c>
      <c r="Q50" s="146">
        <f t="shared" ref="Q50:Q51" si="16">SUM(E50:P50)</f>
        <v>180000</v>
      </c>
    </row>
    <row r="51" spans="2:17" x14ac:dyDescent="0.2">
      <c r="B51" s="163" t="s">
        <v>66</v>
      </c>
      <c r="C51" s="98"/>
      <c r="D51" s="144">
        <v>0.9</v>
      </c>
      <c r="E51" s="145">
        <f>Výnosy!AS32*'Přímé náklady'!$D$49</f>
        <v>0</v>
      </c>
      <c r="F51" s="145">
        <f>Výnosy!AT32*'Přímé náklady'!$D$49</f>
        <v>0</v>
      </c>
      <c r="G51" s="145">
        <f>Výnosy!AU32*'Přímé náklady'!$D$49</f>
        <v>0</v>
      </c>
      <c r="H51" s="145">
        <f>Výnosy!AV32*'Přímé náklady'!$D$49</f>
        <v>0</v>
      </c>
      <c r="I51" s="145">
        <f>Výnosy!AW32*'Přímé náklady'!$D$49</f>
        <v>0</v>
      </c>
      <c r="J51" s="145">
        <f>Výnosy!AX32*'Přímé náklady'!$D$49</f>
        <v>0</v>
      </c>
      <c r="K51" s="145">
        <f>Výnosy!AY32*'Přímé náklady'!$D$49</f>
        <v>0</v>
      </c>
      <c r="L51" s="145">
        <f>Výnosy!AZ32*'Přímé náklady'!$D$49</f>
        <v>0</v>
      </c>
      <c r="M51" s="145">
        <f>Výnosy!BA32*'Přímé náklady'!$D$49</f>
        <v>45000</v>
      </c>
      <c r="N51" s="145">
        <f>Výnosy!BB32*'Přímé náklady'!$D$49</f>
        <v>45000</v>
      </c>
      <c r="O51" s="145">
        <f>Výnosy!BC32*'Přímé náklady'!$D$49</f>
        <v>45000</v>
      </c>
      <c r="P51" s="145">
        <f>Výnosy!BD32*'Přímé náklady'!$D$49</f>
        <v>45000</v>
      </c>
      <c r="Q51" s="146">
        <f t="shared" si="16"/>
        <v>180000</v>
      </c>
    </row>
    <row r="52" spans="2:17" x14ac:dyDescent="0.2">
      <c r="B52" s="163" t="s">
        <v>67</v>
      </c>
      <c r="C52" s="98"/>
      <c r="D52" s="144">
        <v>0.9</v>
      </c>
      <c r="E52" s="145">
        <f>Výnosy!AS33*'Přímé náklady'!$D$52</f>
        <v>0</v>
      </c>
      <c r="F52" s="145">
        <f>Výnosy!AT33*'Přímé náklady'!$D$52</f>
        <v>0</v>
      </c>
      <c r="G52" s="145">
        <f>Výnosy!AU33*'Přímé náklady'!$D$52</f>
        <v>0</v>
      </c>
      <c r="H52" s="145">
        <f>Výnosy!AV33*'Přímé náklady'!$D$52</f>
        <v>0</v>
      </c>
      <c r="I52" s="145">
        <f>Výnosy!AW33*'Přímé náklady'!$D$52</f>
        <v>12000.000000000002</v>
      </c>
      <c r="J52" s="145">
        <f>Výnosy!AX33*'Přímé náklady'!$D$52</f>
        <v>12000.000000000002</v>
      </c>
      <c r="K52" s="145">
        <f>Výnosy!AY33*'Přímé náklady'!$D$52</f>
        <v>12000.000000000002</v>
      </c>
      <c r="L52" s="145">
        <f>Výnosy!AZ33*'Přímé náklady'!$D$52</f>
        <v>12000.000000000002</v>
      </c>
      <c r="M52" s="145">
        <f>Výnosy!BA33*'Přímé náklady'!$D$52</f>
        <v>12000.000000000002</v>
      </c>
      <c r="N52" s="145">
        <f>Výnosy!BB33*'Přímé náklady'!$D$52</f>
        <v>12000.000000000002</v>
      </c>
      <c r="O52" s="145">
        <f>Výnosy!BC33*'Přímé náklady'!$D$52</f>
        <v>12000.000000000002</v>
      </c>
      <c r="P52" s="145">
        <f>Výnosy!BD33*'Přímé náklady'!$D$52</f>
        <v>12000.000000000002</v>
      </c>
      <c r="Q52" s="146">
        <f t="shared" si="15"/>
        <v>96000.000000000015</v>
      </c>
    </row>
    <row r="53" spans="2:17" x14ac:dyDescent="0.2">
      <c r="B53" s="141"/>
      <c r="C53" s="98"/>
      <c r="D53" s="98"/>
      <c r="E53" s="147">
        <f t="shared" ref="E53:P53" si="17">SUM(E43:E52)</f>
        <v>0</v>
      </c>
      <c r="F53" s="148">
        <f t="shared" si="17"/>
        <v>0</v>
      </c>
      <c r="G53" s="148">
        <f t="shared" si="17"/>
        <v>0</v>
      </c>
      <c r="H53" s="148">
        <f t="shared" si="17"/>
        <v>122062.49999999997</v>
      </c>
      <c r="I53" s="148">
        <f t="shared" si="17"/>
        <v>171562.49999999997</v>
      </c>
      <c r="J53" s="148">
        <f t="shared" si="17"/>
        <v>183562.49999999997</v>
      </c>
      <c r="K53" s="148">
        <f t="shared" si="17"/>
        <v>335437.49999999994</v>
      </c>
      <c r="L53" s="148">
        <f t="shared" si="17"/>
        <v>470437.49999999994</v>
      </c>
      <c r="M53" s="148">
        <f t="shared" si="17"/>
        <v>560437.5</v>
      </c>
      <c r="N53" s="148">
        <f t="shared" si="17"/>
        <v>560437.5</v>
      </c>
      <c r="O53" s="148">
        <f t="shared" si="17"/>
        <v>560437.5</v>
      </c>
      <c r="P53" s="148">
        <f t="shared" si="17"/>
        <v>560437.5</v>
      </c>
      <c r="Q53" s="146">
        <f>SUM(E53:P53)</f>
        <v>3524812.5</v>
      </c>
    </row>
    <row r="54" spans="2:17" x14ac:dyDescent="0.2">
      <c r="B54" s="141"/>
      <c r="C54" s="98"/>
      <c r="D54" s="98"/>
      <c r="E54" s="132">
        <v>1</v>
      </c>
      <c r="F54" s="79">
        <v>1</v>
      </c>
      <c r="G54" s="79">
        <v>1</v>
      </c>
      <c r="H54" s="79">
        <v>1</v>
      </c>
      <c r="I54" s="79">
        <v>1</v>
      </c>
      <c r="J54" s="79">
        <v>1</v>
      </c>
      <c r="K54" s="79">
        <v>1</v>
      </c>
      <c r="L54" s="79">
        <v>1</v>
      </c>
      <c r="M54" s="79">
        <v>1</v>
      </c>
      <c r="N54" s="79">
        <v>1</v>
      </c>
      <c r="O54" s="79">
        <v>1</v>
      </c>
      <c r="P54" s="80">
        <v>1</v>
      </c>
      <c r="Q54" s="118"/>
    </row>
    <row r="55" spans="2:17" x14ac:dyDescent="0.2">
      <c r="B55" s="141"/>
      <c r="C55" s="98"/>
      <c r="D55" s="98"/>
      <c r="E55" s="169">
        <v>0.03</v>
      </c>
      <c r="F55" s="169">
        <v>0.03</v>
      </c>
      <c r="G55" s="169">
        <v>0.03</v>
      </c>
      <c r="H55" s="169">
        <v>0.03</v>
      </c>
      <c r="I55" s="169">
        <v>0.03</v>
      </c>
      <c r="J55" s="169">
        <v>0.05</v>
      </c>
      <c r="K55" s="169">
        <v>0.05</v>
      </c>
      <c r="L55" s="169">
        <v>0.05</v>
      </c>
      <c r="M55" s="169">
        <v>0.05</v>
      </c>
      <c r="N55" s="169">
        <v>0.05</v>
      </c>
      <c r="O55" s="169">
        <v>0.05</v>
      </c>
      <c r="P55" s="169">
        <v>0.05</v>
      </c>
      <c r="Q55" s="118"/>
    </row>
    <row r="56" spans="2:17" ht="12" thickBot="1" x14ac:dyDescent="0.25">
      <c r="B56" s="141"/>
      <c r="C56" s="98"/>
      <c r="D56" s="99"/>
      <c r="E56" s="147">
        <f>(+E53*E54)*(1-E55)</f>
        <v>0</v>
      </c>
      <c r="F56" s="148">
        <f>(+F53*F54)*(1-F55)</f>
        <v>0</v>
      </c>
      <c r="G56" s="148">
        <f t="shared" ref="G56" si="18">(+G53*G54)*(1-G55)</f>
        <v>0</v>
      </c>
      <c r="H56" s="148">
        <f>(+H53*H54)*(1-H55)</f>
        <v>118400.62499999997</v>
      </c>
      <c r="I56" s="148">
        <f t="shared" ref="I56" si="19">(+I53*I54)*(1-I55)</f>
        <v>166415.62499999997</v>
      </c>
      <c r="J56" s="148">
        <f t="shared" ref="J56" si="20">(+J53*J54)*(1-J55)</f>
        <v>174384.37499999997</v>
      </c>
      <c r="K56" s="148">
        <f t="shared" ref="K56" si="21">(+K53*K54)*(1-K55)</f>
        <v>318665.62499999994</v>
      </c>
      <c r="L56" s="148">
        <f t="shared" ref="L56" si="22">(+L53*L54)*(1-L55)</f>
        <v>446915.62499999994</v>
      </c>
      <c r="M56" s="148">
        <f t="shared" ref="M56" si="23">(+M53*M54)*(1-M55)</f>
        <v>532415.625</v>
      </c>
      <c r="N56" s="148">
        <f t="shared" ref="N56" si="24">(+N53*N54)*(1-N55)</f>
        <v>532415.625</v>
      </c>
      <c r="O56" s="148">
        <f t="shared" ref="O56" si="25">(+O53*O54)*(1-O55)</f>
        <v>532415.625</v>
      </c>
      <c r="P56" s="148">
        <f t="shared" ref="P56" si="26">(+P53*P54)*(1-P55)</f>
        <v>532415.625</v>
      </c>
      <c r="Q56" s="149">
        <f>SUM(E56:P56)</f>
        <v>3354444.375</v>
      </c>
    </row>
    <row r="57" spans="2:17" x14ac:dyDescent="0.2">
      <c r="B57" s="141"/>
      <c r="C57" s="98"/>
      <c r="D57" s="99"/>
      <c r="E57" s="226" t="s">
        <v>80</v>
      </c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8"/>
    </row>
    <row r="58" spans="2:17" ht="12" thickBot="1" x14ac:dyDescent="0.25">
      <c r="B58" s="141"/>
      <c r="C58" s="98"/>
      <c r="D58" s="99"/>
      <c r="E58" s="138" t="s">
        <v>40</v>
      </c>
      <c r="F58" s="139" t="s">
        <v>41</v>
      </c>
      <c r="G58" s="139" t="s">
        <v>42</v>
      </c>
      <c r="H58" s="139" t="s">
        <v>43</v>
      </c>
      <c r="I58" s="139" t="s">
        <v>44</v>
      </c>
      <c r="J58" s="139" t="s">
        <v>45</v>
      </c>
      <c r="K58" s="139" t="s">
        <v>46</v>
      </c>
      <c r="L58" s="139" t="s">
        <v>47</v>
      </c>
      <c r="M58" s="139" t="s">
        <v>48</v>
      </c>
      <c r="N58" s="139" t="s">
        <v>49</v>
      </c>
      <c r="O58" s="139" t="s">
        <v>50</v>
      </c>
      <c r="P58" s="139" t="s">
        <v>51</v>
      </c>
      <c r="Q58" s="140" t="s">
        <v>52</v>
      </c>
    </row>
    <row r="59" spans="2:17" ht="12" thickBot="1" x14ac:dyDescent="0.25">
      <c r="B59" s="141"/>
      <c r="C59" s="98"/>
      <c r="D59" s="99"/>
      <c r="E59" s="141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3"/>
    </row>
    <row r="60" spans="2:17" x14ac:dyDescent="0.2">
      <c r="B60" s="164" t="s">
        <v>58</v>
      </c>
      <c r="C60" s="136"/>
      <c r="D60" s="137"/>
      <c r="E60" s="154">
        <f>Výnosy!AS24-'Přímé náklady'!E43</f>
        <v>0</v>
      </c>
      <c r="F60" s="154">
        <f>Výnosy!AT24-'Přímé náklady'!F43</f>
        <v>0</v>
      </c>
      <c r="G60" s="154">
        <f>Výnosy!AU24-'Přímé náklady'!G43</f>
        <v>0</v>
      </c>
      <c r="H60" s="154">
        <f>Výnosy!AV24-'Přímé náklady'!H43</f>
        <v>0</v>
      </c>
      <c r="I60" s="154">
        <f>Výnosy!AW24-'Přímé náklady'!I43</f>
        <v>0</v>
      </c>
      <c r="J60" s="154">
        <f>Výnosy!AX24-'Přímé náklady'!J43</f>
        <v>0</v>
      </c>
      <c r="K60" s="154">
        <f>Výnosy!AY24-'Přímé náklady'!K43</f>
        <v>16875</v>
      </c>
      <c r="L60" s="154">
        <f>Výnosy!AZ24-'Přímé náklady'!L43</f>
        <v>16875</v>
      </c>
      <c r="M60" s="154">
        <f>Výnosy!BA24-'Přímé náklady'!M43</f>
        <v>16875</v>
      </c>
      <c r="N60" s="154">
        <f>Výnosy!BB24-'Přímé náklady'!N43</f>
        <v>16875</v>
      </c>
      <c r="O60" s="154">
        <f>Výnosy!BC24-'Přímé náklady'!O43</f>
        <v>16875</v>
      </c>
      <c r="P60" s="154">
        <f>Výnosy!BD24-'Přímé náklady'!P43</f>
        <v>16875</v>
      </c>
      <c r="Q60" s="155">
        <f t="shared" ref="Q60:Q66" si="27">SUM(E60:P60)</f>
        <v>101250</v>
      </c>
    </row>
    <row r="61" spans="2:17" x14ac:dyDescent="0.2">
      <c r="B61" s="163" t="s">
        <v>59</v>
      </c>
      <c r="C61" s="98"/>
      <c r="D61" s="99"/>
      <c r="E61" s="145">
        <f>Výnosy!AS25-'Přímé náklady'!E44</f>
        <v>0</v>
      </c>
      <c r="F61" s="145">
        <f>Výnosy!AT25-'Přímé náklady'!F44</f>
        <v>0</v>
      </c>
      <c r="G61" s="145">
        <f>Výnosy!AU25-'Přímé náklady'!G44</f>
        <v>0</v>
      </c>
      <c r="H61" s="145">
        <f>Výnosy!AV25-'Přímé náklady'!H44</f>
        <v>0</v>
      </c>
      <c r="I61" s="145">
        <f>Výnosy!AW25-'Přímé náklady'!I44</f>
        <v>0</v>
      </c>
      <c r="J61" s="145">
        <f>Výnosy!AX25-'Přímé náklady'!J44</f>
        <v>0</v>
      </c>
      <c r="K61" s="145">
        <f>Výnosy!AY25-'Přímé náklady'!K44</f>
        <v>0</v>
      </c>
      <c r="L61" s="145">
        <f>Výnosy!AZ25-'Přímé náklady'!L44</f>
        <v>15000</v>
      </c>
      <c r="M61" s="145">
        <f>Výnosy!BA25-'Přímé náklady'!M44</f>
        <v>15000</v>
      </c>
      <c r="N61" s="145">
        <f>Výnosy!BB25-'Přímé náklady'!N44</f>
        <v>15000</v>
      </c>
      <c r="O61" s="145">
        <f>Výnosy!BC25-'Přímé náklady'!O44</f>
        <v>15000</v>
      </c>
      <c r="P61" s="145">
        <f>Výnosy!BD25-'Přímé náklady'!P44</f>
        <v>15000</v>
      </c>
      <c r="Q61" s="146">
        <f t="shared" si="27"/>
        <v>75000</v>
      </c>
    </row>
    <row r="62" spans="2:17" x14ac:dyDescent="0.2">
      <c r="B62" s="163" t="s">
        <v>60</v>
      </c>
      <c r="C62" s="98"/>
      <c r="D62" s="99"/>
      <c r="E62" s="145">
        <f>Výnosy!AS26-'Přímé náklady'!E45</f>
        <v>0</v>
      </c>
      <c r="F62" s="145">
        <f>Výnosy!AT26-'Přímé náklady'!F45</f>
        <v>0</v>
      </c>
      <c r="G62" s="145">
        <f>Výnosy!AU26-'Přímé náklady'!G45</f>
        <v>0</v>
      </c>
      <c r="H62" s="145">
        <f>Výnosy!AV26-'Přímé náklady'!H45</f>
        <v>7875</v>
      </c>
      <c r="I62" s="145">
        <f>Výnosy!AW26-'Přímé náklady'!I45</f>
        <v>7875</v>
      </c>
      <c r="J62" s="145">
        <f>Výnosy!AX26-'Přímé náklady'!J45</f>
        <v>7875</v>
      </c>
      <c r="K62" s="145">
        <f>Výnosy!AY26-'Přímé náklady'!K45</f>
        <v>7875</v>
      </c>
      <c r="L62" s="145">
        <f>Výnosy!AZ26-'Přímé náklady'!L45</f>
        <v>7875</v>
      </c>
      <c r="M62" s="145">
        <f>Výnosy!BA26-'Přímé náklady'!M45</f>
        <v>7875</v>
      </c>
      <c r="N62" s="145">
        <f>Výnosy!BB26-'Přímé náklady'!N45</f>
        <v>7875</v>
      </c>
      <c r="O62" s="145">
        <f>Výnosy!BC26-'Přímé náklady'!O45</f>
        <v>7875</v>
      </c>
      <c r="P62" s="145">
        <f>Výnosy!BD26-'Přímé náklady'!P45</f>
        <v>7875</v>
      </c>
      <c r="Q62" s="146">
        <f t="shared" si="27"/>
        <v>70875</v>
      </c>
    </row>
    <row r="63" spans="2:17" x14ac:dyDescent="0.2">
      <c r="B63" s="163" t="s">
        <v>61</v>
      </c>
      <c r="C63" s="98"/>
      <c r="D63" s="99"/>
      <c r="E63" s="145">
        <f>Výnosy!AS27-'Přímé náklady'!E46</f>
        <v>0</v>
      </c>
      <c r="F63" s="145">
        <f>Výnosy!AT27-'Přímé náklady'!F46</f>
        <v>0</v>
      </c>
      <c r="G63" s="145">
        <f>Výnosy!AU27-'Přímé náklady'!G46</f>
        <v>0</v>
      </c>
      <c r="H63" s="145">
        <f>Výnosy!AV27-'Přímé náklady'!H46</f>
        <v>3187.5</v>
      </c>
      <c r="I63" s="145">
        <f>Výnosy!AW27-'Přímé náklady'!I46</f>
        <v>3187.5</v>
      </c>
      <c r="J63" s="145">
        <f>Výnosy!AX27-'Přímé náklady'!J46</f>
        <v>3187.5</v>
      </c>
      <c r="K63" s="145">
        <f>Výnosy!AY27-'Přímé náklady'!K46</f>
        <v>3187.5</v>
      </c>
      <c r="L63" s="145">
        <f>Výnosy!AZ27-'Přímé náklady'!L46</f>
        <v>3187.5</v>
      </c>
      <c r="M63" s="145">
        <f>Výnosy!BA27-'Přímé náklady'!M46</f>
        <v>3187.5</v>
      </c>
      <c r="N63" s="145">
        <f>Výnosy!BB27-'Přímé náklady'!N46</f>
        <v>3187.5</v>
      </c>
      <c r="O63" s="145">
        <f>Výnosy!BC27-'Přímé náklady'!O46</f>
        <v>3187.5</v>
      </c>
      <c r="P63" s="145">
        <f>Výnosy!BD27-'Přímé náklady'!P46</f>
        <v>3187.5</v>
      </c>
      <c r="Q63" s="146">
        <f t="shared" si="27"/>
        <v>28687.5</v>
      </c>
    </row>
    <row r="64" spans="2:17" x14ac:dyDescent="0.2">
      <c r="B64" s="163" t="s">
        <v>62</v>
      </c>
      <c r="C64" s="98"/>
      <c r="D64" s="99"/>
      <c r="E64" s="145">
        <f>Výnosy!AS28-'Přímé náklady'!E47</f>
        <v>0</v>
      </c>
      <c r="F64" s="145">
        <f>Výnosy!AT28-'Přímé náklady'!F47</f>
        <v>0</v>
      </c>
      <c r="G64" s="145">
        <f>Výnosy!AU28-'Přímé náklady'!G47</f>
        <v>0</v>
      </c>
      <c r="H64" s="145">
        <f>Výnosy!AV28-'Přímé náklady'!H47</f>
        <v>0</v>
      </c>
      <c r="I64" s="145">
        <f>Výnosy!AW28-'Přímé náklady'!I47</f>
        <v>4166.6666666666642</v>
      </c>
      <c r="J64" s="145">
        <f>Výnosy!AX28-'Přímé náklady'!J47</f>
        <v>4166.6666666666642</v>
      </c>
      <c r="K64" s="145">
        <f>Výnosy!AY28-'Přímé náklady'!K47</f>
        <v>4166.6666666666642</v>
      </c>
      <c r="L64" s="145">
        <f>Výnosy!AZ28-'Přímé náklady'!L47</f>
        <v>4166.6666666666642</v>
      </c>
      <c r="M64" s="145">
        <f>Výnosy!BA28-'Přímé náklady'!M47</f>
        <v>4166.6666666666642</v>
      </c>
      <c r="N64" s="145">
        <f>Výnosy!BB28-'Přímé náklady'!N47</f>
        <v>4166.6666666666642</v>
      </c>
      <c r="O64" s="145">
        <f>Výnosy!BC28-'Přímé náklady'!O47</f>
        <v>4166.6666666666642</v>
      </c>
      <c r="P64" s="145">
        <f>Výnosy!BD28-'Přímé náklady'!P47</f>
        <v>4166.6666666666642</v>
      </c>
      <c r="Q64" s="146">
        <f t="shared" si="27"/>
        <v>33333.333333333314</v>
      </c>
    </row>
    <row r="65" spans="2:17" x14ac:dyDescent="0.2">
      <c r="B65" s="163" t="s">
        <v>63</v>
      </c>
      <c r="C65" s="98"/>
      <c r="D65" s="99"/>
      <c r="E65" s="145">
        <f>Výnosy!AS29-'Přímé náklady'!E48</f>
        <v>0</v>
      </c>
      <c r="F65" s="145">
        <f>Výnosy!AT29-'Přímé náklady'!F48</f>
        <v>0</v>
      </c>
      <c r="G65" s="145">
        <f>Výnosy!AU29-'Přímé náklady'!G48</f>
        <v>0</v>
      </c>
      <c r="H65" s="145">
        <f>Výnosy!AV29-'Přímé náklady'!H48</f>
        <v>2500</v>
      </c>
      <c r="I65" s="145">
        <f>Výnosy!AW29-'Přímé náklady'!I48</f>
        <v>2500</v>
      </c>
      <c r="J65" s="145">
        <f>Výnosy!AX29-'Přímé náklady'!J48</f>
        <v>2500</v>
      </c>
      <c r="K65" s="145">
        <f>Výnosy!AY29-'Přímé náklady'!K48</f>
        <v>2500</v>
      </c>
      <c r="L65" s="145">
        <f>Výnosy!AZ29-'Přímé náklady'!L48</f>
        <v>2500</v>
      </c>
      <c r="M65" s="145">
        <f>Výnosy!BA29-'Přímé náklady'!M48</f>
        <v>2500</v>
      </c>
      <c r="N65" s="145">
        <f>Výnosy!BB29-'Přímé náklady'!N48</f>
        <v>2500</v>
      </c>
      <c r="O65" s="145">
        <f>Výnosy!BC29-'Přímé náklady'!O48</f>
        <v>2500</v>
      </c>
      <c r="P65" s="145">
        <f>Výnosy!BD29-'Přímé náklady'!P48</f>
        <v>2500</v>
      </c>
      <c r="Q65" s="146">
        <f t="shared" si="27"/>
        <v>22500</v>
      </c>
    </row>
    <row r="66" spans="2:17" x14ac:dyDescent="0.2">
      <c r="B66" s="163" t="s">
        <v>64</v>
      </c>
      <c r="C66" s="98"/>
      <c r="D66" s="99"/>
      <c r="E66" s="145">
        <f>Výnosy!AS30-'Přímé náklady'!E49</f>
        <v>0</v>
      </c>
      <c r="F66" s="145">
        <f>Výnosy!AT30-'Přímé náklady'!F49</f>
        <v>0</v>
      </c>
      <c r="G66" s="145">
        <f>Výnosy!AU30-'Přímé náklady'!G49</f>
        <v>0</v>
      </c>
      <c r="H66" s="145">
        <f>Výnosy!AV30-'Přímé náklady'!H49</f>
        <v>0</v>
      </c>
      <c r="I66" s="145">
        <f>Výnosy!AW30-'Přímé náklady'!I49</f>
        <v>0</v>
      </c>
      <c r="J66" s="145">
        <f>Výnosy!AX30-'Přímé náklady'!J49</f>
        <v>1333.3333333333339</v>
      </c>
      <c r="K66" s="145">
        <f>Výnosy!AY30-'Přímé náklady'!K49</f>
        <v>1333.3333333333339</v>
      </c>
      <c r="L66" s="145">
        <f>Výnosy!AZ30-'Přímé náklady'!L49</f>
        <v>1333.3333333333339</v>
      </c>
      <c r="M66" s="145">
        <f>Výnosy!BA30-'Přímé náklady'!M49</f>
        <v>1333.3333333333339</v>
      </c>
      <c r="N66" s="145">
        <f>Výnosy!BB30-'Přímé náklady'!N49</f>
        <v>1333.3333333333339</v>
      </c>
      <c r="O66" s="145">
        <f>Výnosy!BC30-'Přímé náklady'!O49</f>
        <v>1333.3333333333339</v>
      </c>
      <c r="P66" s="145">
        <f>Výnosy!BD30-'Přímé náklady'!P49</f>
        <v>1333.3333333333339</v>
      </c>
      <c r="Q66" s="146">
        <f t="shared" si="27"/>
        <v>9333.3333333333376</v>
      </c>
    </row>
    <row r="67" spans="2:17" x14ac:dyDescent="0.2">
      <c r="B67" s="163" t="s">
        <v>65</v>
      </c>
      <c r="C67" s="98"/>
      <c r="D67" s="99"/>
      <c r="E67" s="145"/>
      <c r="F67" s="145">
        <f>Výnosy!AT31-'Přímé náklady'!F50</f>
        <v>0</v>
      </c>
      <c r="G67" s="145">
        <f>Výnosy!AU31-'Přímé náklady'!G50</f>
        <v>0</v>
      </c>
      <c r="H67" s="145">
        <f>Výnosy!AV31-'Přímé náklady'!H50</f>
        <v>0</v>
      </c>
      <c r="I67" s="145">
        <f>Výnosy!AW31-'Přímé náklady'!I50</f>
        <v>0</v>
      </c>
      <c r="J67" s="145">
        <f>Výnosy!AX31-'Přímé náklady'!J50</f>
        <v>0</v>
      </c>
      <c r="K67" s="145">
        <f>Výnosy!AY31-'Přímé náklady'!K50</f>
        <v>0</v>
      </c>
      <c r="L67" s="145">
        <f>Výnosy!AZ31-'Přímé náklady'!L50</f>
        <v>0</v>
      </c>
      <c r="M67" s="145">
        <f>Výnosy!BA31-'Přímé náklady'!M50</f>
        <v>5000</v>
      </c>
      <c r="N67" s="145">
        <f>Výnosy!BB31-'Přímé náklady'!N50</f>
        <v>5000</v>
      </c>
      <c r="O67" s="145">
        <f>Výnosy!BC31-'Přímé náklady'!O50</f>
        <v>5000</v>
      </c>
      <c r="P67" s="145">
        <f>Výnosy!BD31-'Přímé náklady'!P50</f>
        <v>5000</v>
      </c>
      <c r="Q67" s="146">
        <f t="shared" ref="Q67:Q69" si="28">SUM(E67:P67)</f>
        <v>20000</v>
      </c>
    </row>
    <row r="68" spans="2:17" x14ac:dyDescent="0.2">
      <c r="B68" s="163" t="s">
        <v>66</v>
      </c>
      <c r="C68" s="98"/>
      <c r="D68" s="99"/>
      <c r="E68" s="145"/>
      <c r="F68" s="145">
        <f>Výnosy!AT32-'Přímé náklady'!F51</f>
        <v>0</v>
      </c>
      <c r="G68" s="145">
        <f>Výnosy!AU32-'Přímé náklady'!G51</f>
        <v>0</v>
      </c>
      <c r="H68" s="145">
        <f>Výnosy!AV32-'Přímé náklady'!H51</f>
        <v>0</v>
      </c>
      <c r="I68" s="145">
        <f>Výnosy!AW32-'Přímé náklady'!I51</f>
        <v>0</v>
      </c>
      <c r="J68" s="145">
        <f>Výnosy!AX32-'Přímé náklady'!J51</f>
        <v>0</v>
      </c>
      <c r="K68" s="145">
        <f>Výnosy!AY32-'Přímé náklady'!K51</f>
        <v>0</v>
      </c>
      <c r="L68" s="145">
        <f>Výnosy!AZ32-'Přímé náklady'!L51</f>
        <v>0</v>
      </c>
      <c r="M68" s="145">
        <f>Výnosy!BA32-'Přímé náklady'!M51</f>
        <v>5000</v>
      </c>
      <c r="N68" s="145">
        <f>Výnosy!BB32-'Přímé náklady'!N51</f>
        <v>5000</v>
      </c>
      <c r="O68" s="145">
        <f>Výnosy!BC32-'Přímé náklady'!O51</f>
        <v>5000</v>
      </c>
      <c r="P68" s="145">
        <f>Výnosy!BD32-'Přímé náklady'!P51</f>
        <v>5000</v>
      </c>
      <c r="Q68" s="146">
        <f t="shared" si="28"/>
        <v>20000</v>
      </c>
    </row>
    <row r="69" spans="2:17" x14ac:dyDescent="0.2">
      <c r="B69" s="163" t="s">
        <v>67</v>
      </c>
      <c r="C69" s="98"/>
      <c r="D69" s="99"/>
      <c r="E69" s="145">
        <f>Výnosy!AS33-'Přímé náklady'!E52</f>
        <v>0</v>
      </c>
      <c r="F69" s="145">
        <f>Výnosy!AT33-'Přímé náklady'!F52</f>
        <v>0</v>
      </c>
      <c r="G69" s="145">
        <f>Výnosy!AU33-'Přímé náklady'!G52</f>
        <v>0</v>
      </c>
      <c r="H69" s="145">
        <f>Výnosy!AV33-'Přímé náklady'!H52</f>
        <v>0</v>
      </c>
      <c r="I69" s="145">
        <f>Výnosy!AW33-'Přímé náklady'!I52</f>
        <v>1333.3333333333339</v>
      </c>
      <c r="J69" s="145">
        <f>Výnosy!AX33-'Přímé náklady'!J52</f>
        <v>1333.3333333333339</v>
      </c>
      <c r="K69" s="145">
        <f>Výnosy!AY33-'Přímé náklady'!K52</f>
        <v>1333.3333333333339</v>
      </c>
      <c r="L69" s="145">
        <f>Výnosy!AZ33-'Přímé náklady'!L52</f>
        <v>1333.3333333333339</v>
      </c>
      <c r="M69" s="145">
        <f>Výnosy!BA33-'Přímé náklady'!M52</f>
        <v>1333.3333333333339</v>
      </c>
      <c r="N69" s="145">
        <f>Výnosy!BB33-'Přímé náklady'!N52</f>
        <v>1333.3333333333339</v>
      </c>
      <c r="O69" s="145">
        <f>Výnosy!BC33-'Přímé náklady'!O52</f>
        <v>1333.3333333333339</v>
      </c>
      <c r="P69" s="145">
        <f>Výnosy!BD33-'Přímé náklady'!P52</f>
        <v>1333.3333333333339</v>
      </c>
      <c r="Q69" s="146">
        <f t="shared" si="28"/>
        <v>10666.666666666672</v>
      </c>
    </row>
    <row r="70" spans="2:17" ht="12" thickBot="1" x14ac:dyDescent="0.25">
      <c r="B70" s="165"/>
      <c r="C70" s="151"/>
      <c r="D70" s="152"/>
      <c r="E70" s="161">
        <f t="shared" ref="E70:P70" si="29">SUM(E60:E69)</f>
        <v>0</v>
      </c>
      <c r="F70" s="162">
        <f t="shared" si="29"/>
        <v>0</v>
      </c>
      <c r="G70" s="162">
        <f t="shared" si="29"/>
        <v>0</v>
      </c>
      <c r="H70" s="162">
        <f t="shared" si="29"/>
        <v>13562.5</v>
      </c>
      <c r="I70" s="162">
        <f t="shared" si="29"/>
        <v>19062.5</v>
      </c>
      <c r="J70" s="162">
        <f t="shared" si="29"/>
        <v>20395.833333333336</v>
      </c>
      <c r="K70" s="162">
        <f t="shared" si="29"/>
        <v>37270.833333333336</v>
      </c>
      <c r="L70" s="162">
        <f t="shared" si="29"/>
        <v>52270.833333333336</v>
      </c>
      <c r="M70" s="162">
        <f t="shared" si="29"/>
        <v>62270.833333333336</v>
      </c>
      <c r="N70" s="162">
        <f t="shared" si="29"/>
        <v>62270.833333333336</v>
      </c>
      <c r="O70" s="162">
        <f t="shared" si="29"/>
        <v>62270.833333333336</v>
      </c>
      <c r="P70" s="162">
        <f t="shared" si="29"/>
        <v>62270.833333333336</v>
      </c>
      <c r="Q70" s="158">
        <f>SUM(E70:P70)</f>
        <v>391645.83333333331</v>
      </c>
    </row>
    <row r="71" spans="2:17" x14ac:dyDescent="0.2">
      <c r="B71" s="128"/>
      <c r="C71" s="98"/>
      <c r="D71" s="99"/>
      <c r="E71" s="159">
        <v>1</v>
      </c>
      <c r="F71" s="160">
        <v>1</v>
      </c>
      <c r="G71" s="160">
        <v>1</v>
      </c>
      <c r="H71" s="160">
        <v>1</v>
      </c>
      <c r="I71" s="160">
        <v>1</v>
      </c>
      <c r="J71" s="160">
        <v>1</v>
      </c>
      <c r="K71" s="160">
        <v>1</v>
      </c>
      <c r="L71" s="160">
        <v>1</v>
      </c>
      <c r="M71" s="160">
        <v>1</v>
      </c>
      <c r="N71" s="160">
        <v>1</v>
      </c>
      <c r="O71" s="160">
        <v>1</v>
      </c>
      <c r="P71" s="80">
        <v>1</v>
      </c>
      <c r="Q71" s="118"/>
    </row>
    <row r="72" spans="2:17" x14ac:dyDescent="0.2">
      <c r="B72" s="128"/>
      <c r="C72" s="98"/>
      <c r="D72" s="99"/>
      <c r="E72" s="169">
        <v>0.03</v>
      </c>
      <c r="F72" s="169">
        <v>0.03</v>
      </c>
      <c r="G72" s="169">
        <v>0.03</v>
      </c>
      <c r="H72" s="169">
        <v>0.03</v>
      </c>
      <c r="I72" s="169">
        <v>0.03</v>
      </c>
      <c r="J72" s="169">
        <v>0.05</v>
      </c>
      <c r="K72" s="169">
        <v>0.05</v>
      </c>
      <c r="L72" s="169">
        <v>0.05</v>
      </c>
      <c r="M72" s="169">
        <v>0.05</v>
      </c>
      <c r="N72" s="169">
        <v>0.05</v>
      </c>
      <c r="O72" s="169">
        <v>0.05</v>
      </c>
      <c r="P72" s="169">
        <v>0.05</v>
      </c>
      <c r="Q72" s="118"/>
    </row>
    <row r="73" spans="2:17" ht="12" thickBot="1" x14ac:dyDescent="0.25">
      <c r="B73" s="150"/>
      <c r="C73" s="151"/>
      <c r="D73" s="152"/>
      <c r="E73" s="147">
        <f>(+E70*E71)*(1-E72)</f>
        <v>0</v>
      </c>
      <c r="F73" s="148">
        <f>(+F70*F71)*(1-F72)</f>
        <v>0</v>
      </c>
      <c r="G73" s="148">
        <f t="shared" ref="G73" si="30">(+G70*G71)*(1-G72)</f>
        <v>0</v>
      </c>
      <c r="H73" s="148">
        <f>(+H70*H71)*(1-H72)</f>
        <v>13155.625</v>
      </c>
      <c r="I73" s="148">
        <f t="shared" ref="I73" si="31">(+I70*I71)*(1-I72)</f>
        <v>18490.625</v>
      </c>
      <c r="J73" s="148">
        <f t="shared" ref="J73" si="32">(+J70*J71)*(1-J72)</f>
        <v>19376.041666666668</v>
      </c>
      <c r="K73" s="148">
        <f t="shared" ref="K73" si="33">(+K70*K71)*(1-K72)</f>
        <v>35407.291666666664</v>
      </c>
      <c r="L73" s="148">
        <f t="shared" ref="L73" si="34">(+L70*L71)*(1-L72)</f>
        <v>49657.291666666664</v>
      </c>
      <c r="M73" s="148">
        <f t="shared" ref="M73" si="35">(+M70*M71)*(1-M72)</f>
        <v>59157.291666666664</v>
      </c>
      <c r="N73" s="148">
        <f t="shared" ref="N73" si="36">(+N70*N71)*(1-N72)</f>
        <v>59157.291666666664</v>
      </c>
      <c r="O73" s="148">
        <f t="shared" ref="O73" si="37">(+O70*O71)*(1-O72)</f>
        <v>59157.291666666664</v>
      </c>
      <c r="P73" s="148">
        <f t="shared" ref="P73" si="38">(+P70*P71)*(1-P72)</f>
        <v>59157.291666666664</v>
      </c>
      <c r="Q73" s="149">
        <f>SUM(E73:P73)</f>
        <v>372716.04166666669</v>
      </c>
    </row>
  </sheetData>
  <mergeCells count="4">
    <mergeCell ref="E2:Q2"/>
    <mergeCell ref="E20:Q20"/>
    <mergeCell ref="E40:Q40"/>
    <mergeCell ref="E57:Q5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7115-01A8-42D5-8BEB-EDEEC2095DAF}">
  <dimension ref="B2:N13"/>
  <sheetViews>
    <sheetView workbookViewId="0"/>
  </sheetViews>
  <sheetFormatPr defaultColWidth="8.7109375" defaultRowHeight="11.25" x14ac:dyDescent="0.2"/>
  <cols>
    <col min="1" max="1" width="8.7109375" style="134"/>
    <col min="2" max="2" width="18.5703125" style="134" bestFit="1" customWidth="1"/>
    <col min="3" max="16384" width="8.7109375" style="134"/>
  </cols>
  <sheetData>
    <row r="2" spans="2:14" x14ac:dyDescent="0.2">
      <c r="B2" s="229" t="s">
        <v>123</v>
      </c>
      <c r="C2" s="231">
        <v>2025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2:14" x14ac:dyDescent="0.2">
      <c r="B3" s="230"/>
      <c r="C3" s="194" t="s">
        <v>40</v>
      </c>
      <c r="D3" s="194" t="s">
        <v>41</v>
      </c>
      <c r="E3" s="194" t="s">
        <v>42</v>
      </c>
      <c r="F3" s="194" t="s">
        <v>43</v>
      </c>
      <c r="G3" s="194" t="s">
        <v>44</v>
      </c>
      <c r="H3" s="194" t="s">
        <v>45</v>
      </c>
      <c r="I3" s="194" t="s">
        <v>46</v>
      </c>
      <c r="J3" s="194" t="s">
        <v>47</v>
      </c>
      <c r="K3" s="194" t="s">
        <v>48</v>
      </c>
      <c r="L3" s="194" t="s">
        <v>49</v>
      </c>
      <c r="M3" s="194" t="s">
        <v>50</v>
      </c>
      <c r="N3" s="194" t="s">
        <v>51</v>
      </c>
    </row>
    <row r="4" spans="2:14" x14ac:dyDescent="0.2">
      <c r="B4" s="195" t="s">
        <v>137</v>
      </c>
      <c r="C4" s="195">
        <v>150000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2:14" x14ac:dyDescent="0.2">
      <c r="B5" s="196" t="s">
        <v>124</v>
      </c>
      <c r="C5" s="196">
        <f>SUM(C6:C8)</f>
        <v>70000</v>
      </c>
      <c r="D5" s="196">
        <f t="shared" ref="D5:N5" si="0">SUM(D6:D8)</f>
        <v>70000</v>
      </c>
      <c r="E5" s="196">
        <f t="shared" si="0"/>
        <v>70000</v>
      </c>
      <c r="F5" s="196">
        <f t="shared" si="0"/>
        <v>70000</v>
      </c>
      <c r="G5" s="196">
        <f t="shared" si="0"/>
        <v>70000</v>
      </c>
      <c r="H5" s="196">
        <f t="shared" si="0"/>
        <v>70000</v>
      </c>
      <c r="I5" s="196">
        <f t="shared" si="0"/>
        <v>70000</v>
      </c>
      <c r="J5" s="196">
        <f t="shared" si="0"/>
        <v>70000</v>
      </c>
      <c r="K5" s="196">
        <f t="shared" si="0"/>
        <v>95000</v>
      </c>
      <c r="L5" s="196">
        <f t="shared" si="0"/>
        <v>95000</v>
      </c>
      <c r="M5" s="196">
        <f t="shared" si="0"/>
        <v>95000</v>
      </c>
      <c r="N5" s="196">
        <f t="shared" si="0"/>
        <v>70000</v>
      </c>
    </row>
    <row r="6" spans="2:14" x14ac:dyDescent="0.2">
      <c r="B6" s="195" t="s">
        <v>139</v>
      </c>
      <c r="C6" s="195">
        <v>35000</v>
      </c>
      <c r="D6" s="195">
        <v>35000</v>
      </c>
      <c r="E6" s="195">
        <v>35000</v>
      </c>
      <c r="F6" s="195">
        <v>35000</v>
      </c>
      <c r="G6" s="195">
        <v>35000</v>
      </c>
      <c r="H6" s="195">
        <v>35000</v>
      </c>
      <c r="I6" s="195">
        <v>35000</v>
      </c>
      <c r="J6" s="195">
        <v>35000</v>
      </c>
      <c r="K6" s="195">
        <v>45000</v>
      </c>
      <c r="L6" s="195">
        <v>45000</v>
      </c>
      <c r="M6" s="195">
        <v>45000</v>
      </c>
      <c r="N6" s="195">
        <v>35000</v>
      </c>
    </row>
    <row r="7" spans="2:14" x14ac:dyDescent="0.2">
      <c r="B7" s="195" t="s">
        <v>125</v>
      </c>
      <c r="C7" s="195">
        <v>15000</v>
      </c>
      <c r="D7" s="195">
        <v>15000</v>
      </c>
      <c r="E7" s="195">
        <v>15000</v>
      </c>
      <c r="F7" s="195">
        <v>15000</v>
      </c>
      <c r="G7" s="195">
        <v>15000</v>
      </c>
      <c r="H7" s="195">
        <v>15000</v>
      </c>
      <c r="I7" s="195">
        <v>15000</v>
      </c>
      <c r="J7" s="195">
        <v>15000</v>
      </c>
      <c r="K7" s="195">
        <v>30000</v>
      </c>
      <c r="L7" s="195">
        <v>30000</v>
      </c>
      <c r="M7" s="195">
        <v>30000</v>
      </c>
      <c r="N7" s="195">
        <v>15000</v>
      </c>
    </row>
    <row r="8" spans="2:14" x14ac:dyDescent="0.2">
      <c r="B8" s="195" t="s">
        <v>138</v>
      </c>
      <c r="C8" s="195">
        <v>20000</v>
      </c>
      <c r="D8" s="195">
        <v>20000</v>
      </c>
      <c r="E8" s="195">
        <v>20000</v>
      </c>
      <c r="F8" s="195">
        <v>20000</v>
      </c>
      <c r="G8" s="195">
        <v>20000</v>
      </c>
      <c r="H8" s="195">
        <v>20000</v>
      </c>
      <c r="I8" s="195">
        <v>20000</v>
      </c>
      <c r="J8" s="195">
        <v>20000</v>
      </c>
      <c r="K8" s="195">
        <v>20000</v>
      </c>
      <c r="L8" s="195">
        <v>20000</v>
      </c>
      <c r="M8" s="195">
        <v>20000</v>
      </c>
      <c r="N8" s="195">
        <v>20000</v>
      </c>
    </row>
    <row r="9" spans="2:14" x14ac:dyDescent="0.2">
      <c r="B9" s="196" t="s">
        <v>126</v>
      </c>
      <c r="C9" s="196">
        <f>SUM(C10:C12)</f>
        <v>65000</v>
      </c>
      <c r="D9" s="196">
        <f t="shared" ref="D9:N9" si="1">SUM(D10:D12)</f>
        <v>65000</v>
      </c>
      <c r="E9" s="196">
        <f t="shared" si="1"/>
        <v>65000</v>
      </c>
      <c r="F9" s="196">
        <f t="shared" si="1"/>
        <v>65000</v>
      </c>
      <c r="G9" s="196">
        <f t="shared" si="1"/>
        <v>65000</v>
      </c>
      <c r="H9" s="196">
        <f t="shared" si="1"/>
        <v>65000</v>
      </c>
      <c r="I9" s="196">
        <f t="shared" si="1"/>
        <v>65000</v>
      </c>
      <c r="J9" s="196">
        <f t="shared" si="1"/>
        <v>65000</v>
      </c>
      <c r="K9" s="196">
        <f t="shared" si="1"/>
        <v>65000</v>
      </c>
      <c r="L9" s="196">
        <f t="shared" si="1"/>
        <v>65000</v>
      </c>
      <c r="M9" s="196">
        <f t="shared" si="1"/>
        <v>65000</v>
      </c>
      <c r="N9" s="196">
        <f t="shared" si="1"/>
        <v>65000</v>
      </c>
    </row>
    <row r="10" spans="2:14" x14ac:dyDescent="0.2">
      <c r="B10" s="195" t="s">
        <v>127</v>
      </c>
      <c r="C10" s="195">
        <v>15000</v>
      </c>
      <c r="D10" s="195">
        <v>15000</v>
      </c>
      <c r="E10" s="195">
        <v>15000</v>
      </c>
      <c r="F10" s="195">
        <v>15000</v>
      </c>
      <c r="G10" s="195">
        <v>15000</v>
      </c>
      <c r="H10" s="195">
        <v>15000</v>
      </c>
      <c r="I10" s="195">
        <v>15000</v>
      </c>
      <c r="J10" s="195">
        <v>15000</v>
      </c>
      <c r="K10" s="195">
        <v>15000</v>
      </c>
      <c r="L10" s="195">
        <v>15000</v>
      </c>
      <c r="M10" s="195">
        <v>15000</v>
      </c>
      <c r="N10" s="195">
        <v>15000</v>
      </c>
    </row>
    <row r="11" spans="2:14" x14ac:dyDescent="0.2">
      <c r="B11" s="195" t="s">
        <v>128</v>
      </c>
      <c r="C11" s="195">
        <v>25000</v>
      </c>
      <c r="D11" s="195">
        <v>25000</v>
      </c>
      <c r="E11" s="195">
        <v>25000</v>
      </c>
      <c r="F11" s="195">
        <v>25000</v>
      </c>
      <c r="G11" s="195">
        <v>25000</v>
      </c>
      <c r="H11" s="195">
        <v>25000</v>
      </c>
      <c r="I11" s="195">
        <v>25000</v>
      </c>
      <c r="J11" s="195">
        <v>25000</v>
      </c>
      <c r="K11" s="195">
        <v>25000</v>
      </c>
      <c r="L11" s="195">
        <v>25000</v>
      </c>
      <c r="M11" s="195">
        <v>25000</v>
      </c>
      <c r="N11" s="195">
        <v>25000</v>
      </c>
    </row>
    <row r="12" spans="2:14" x14ac:dyDescent="0.2">
      <c r="B12" s="195" t="s">
        <v>129</v>
      </c>
      <c r="C12" s="195">
        <v>25000</v>
      </c>
      <c r="D12" s="195">
        <v>25000</v>
      </c>
      <c r="E12" s="195">
        <v>25000</v>
      </c>
      <c r="F12" s="195">
        <v>25000</v>
      </c>
      <c r="G12" s="195">
        <v>25000</v>
      </c>
      <c r="H12" s="195">
        <v>25000</v>
      </c>
      <c r="I12" s="195">
        <v>25000</v>
      </c>
      <c r="J12" s="195">
        <v>25000</v>
      </c>
      <c r="K12" s="195">
        <v>25000</v>
      </c>
      <c r="L12" s="195">
        <v>25000</v>
      </c>
      <c r="M12" s="195">
        <v>25000</v>
      </c>
      <c r="N12" s="195">
        <v>25000</v>
      </c>
    </row>
    <row r="13" spans="2:14" s="180" customFormat="1" x14ac:dyDescent="0.2">
      <c r="B13" s="196" t="s">
        <v>130</v>
      </c>
      <c r="C13" s="196">
        <f>C4+C5+C9</f>
        <v>285000</v>
      </c>
      <c r="D13" s="196">
        <f t="shared" ref="D13:N13" si="2">D4+D5+D9</f>
        <v>135000</v>
      </c>
      <c r="E13" s="196">
        <f t="shared" si="2"/>
        <v>135000</v>
      </c>
      <c r="F13" s="196">
        <f t="shared" si="2"/>
        <v>135000</v>
      </c>
      <c r="G13" s="196">
        <f t="shared" si="2"/>
        <v>135000</v>
      </c>
      <c r="H13" s="196">
        <f t="shared" si="2"/>
        <v>135000</v>
      </c>
      <c r="I13" s="196">
        <f t="shared" si="2"/>
        <v>135000</v>
      </c>
      <c r="J13" s="196">
        <f t="shared" si="2"/>
        <v>135000</v>
      </c>
      <c r="K13" s="196">
        <f t="shared" si="2"/>
        <v>160000</v>
      </c>
      <c r="L13" s="196">
        <f t="shared" si="2"/>
        <v>160000</v>
      </c>
      <c r="M13" s="196">
        <f t="shared" si="2"/>
        <v>160000</v>
      </c>
      <c r="N13" s="196">
        <f t="shared" si="2"/>
        <v>135000</v>
      </c>
    </row>
  </sheetData>
  <mergeCells count="2">
    <mergeCell ref="B2:B3"/>
    <mergeCell ref="C2:N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F315-7EEE-4F13-B14A-1B6163AA1CFB}">
  <dimension ref="C1:V48"/>
  <sheetViews>
    <sheetView showGridLines="0" workbookViewId="0"/>
  </sheetViews>
  <sheetFormatPr defaultColWidth="8.7109375" defaultRowHeight="11.25" x14ac:dyDescent="0.2"/>
  <cols>
    <col min="1" max="2" width="8.7109375" style="134"/>
    <col min="3" max="3" width="19.5703125" style="134" bestFit="1" customWidth="1"/>
    <col min="4" max="4" width="22.42578125" style="134" bestFit="1" customWidth="1"/>
    <col min="5" max="5" width="6.140625" style="134" bestFit="1" customWidth="1"/>
    <col min="6" max="6" width="8.7109375" style="134"/>
    <col min="7" max="7" width="2.140625" style="134" customWidth="1"/>
    <col min="8" max="8" width="8.7109375" style="134"/>
    <col min="9" max="9" width="1.140625" style="134" customWidth="1"/>
    <col min="10" max="21" width="8.7109375" style="134"/>
    <col min="22" max="22" width="8.7109375" style="180"/>
    <col min="23" max="16384" width="8.7109375" style="134"/>
  </cols>
  <sheetData>
    <row r="1" spans="3:22" ht="12" thickBot="1" x14ac:dyDescent="0.25"/>
    <row r="2" spans="3:22" ht="12" thickBot="1" x14ac:dyDescent="0.25">
      <c r="C2" s="172" t="s">
        <v>83</v>
      </c>
      <c r="D2" s="186" t="s">
        <v>103</v>
      </c>
      <c r="E2" s="186" t="s">
        <v>131</v>
      </c>
      <c r="F2" s="172" t="s">
        <v>117</v>
      </c>
      <c r="G2" s="173"/>
      <c r="H2" s="172" t="s">
        <v>71</v>
      </c>
      <c r="I2" s="173"/>
      <c r="J2" s="174" t="s">
        <v>0</v>
      </c>
      <c r="K2" s="175" t="s">
        <v>1</v>
      </c>
      <c r="L2" s="175" t="s">
        <v>2</v>
      </c>
      <c r="M2" s="175" t="s">
        <v>3</v>
      </c>
      <c r="N2" s="175" t="s">
        <v>4</v>
      </c>
      <c r="O2" s="175" t="s">
        <v>5</v>
      </c>
      <c r="P2" s="175" t="s">
        <v>6</v>
      </c>
      <c r="Q2" s="175" t="s">
        <v>7</v>
      </c>
      <c r="R2" s="175" t="s">
        <v>8</v>
      </c>
      <c r="S2" s="175" t="s">
        <v>9</v>
      </c>
      <c r="T2" s="175" t="s">
        <v>10</v>
      </c>
      <c r="U2" s="176" t="s">
        <v>11</v>
      </c>
      <c r="V2" s="172" t="s">
        <v>12</v>
      </c>
    </row>
    <row r="3" spans="3:22" ht="12" x14ac:dyDescent="0.2">
      <c r="C3" s="177" t="s">
        <v>84</v>
      </c>
      <c r="D3" s="185" t="s">
        <v>82</v>
      </c>
      <c r="E3" s="185" t="s">
        <v>132</v>
      </c>
      <c r="F3" s="189">
        <v>120000</v>
      </c>
      <c r="G3" s="191"/>
      <c r="H3" s="192">
        <v>0.05</v>
      </c>
      <c r="I3" s="187"/>
      <c r="J3" s="178">
        <f>F3*(1+H3)</f>
        <v>126000</v>
      </c>
      <c r="K3" s="178">
        <f>J3</f>
        <v>126000</v>
      </c>
      <c r="L3" s="178">
        <f t="shared" ref="L3:U3" si="0">K3</f>
        <v>126000</v>
      </c>
      <c r="M3" s="178">
        <f t="shared" si="0"/>
        <v>126000</v>
      </c>
      <c r="N3" s="178">
        <f t="shared" si="0"/>
        <v>126000</v>
      </c>
      <c r="O3" s="178">
        <f t="shared" si="0"/>
        <v>126000</v>
      </c>
      <c r="P3" s="178">
        <f t="shared" si="0"/>
        <v>126000</v>
      </c>
      <c r="Q3" s="178">
        <f t="shared" si="0"/>
        <v>126000</v>
      </c>
      <c r="R3" s="178">
        <f t="shared" si="0"/>
        <v>126000</v>
      </c>
      <c r="S3" s="178">
        <f t="shared" si="0"/>
        <v>126000</v>
      </c>
      <c r="T3" s="178">
        <f t="shared" si="0"/>
        <v>126000</v>
      </c>
      <c r="U3" s="178">
        <f t="shared" si="0"/>
        <v>126000</v>
      </c>
      <c r="V3" s="179">
        <f>SUM(J3:U3)</f>
        <v>1512000</v>
      </c>
    </row>
    <row r="4" spans="3:22" ht="12" x14ac:dyDescent="0.2">
      <c r="C4" s="177" t="s">
        <v>85</v>
      </c>
      <c r="D4" s="6" t="s">
        <v>82</v>
      </c>
      <c r="E4" s="6" t="s">
        <v>132</v>
      </c>
      <c r="F4" s="189">
        <v>70000</v>
      </c>
      <c r="G4" s="191"/>
      <c r="H4" s="192">
        <v>0.05</v>
      </c>
      <c r="I4" s="187"/>
      <c r="J4" s="178">
        <f t="shared" ref="J4:J33" si="1">F4*(1+H4)</f>
        <v>73500</v>
      </c>
      <c r="K4" s="178">
        <f t="shared" ref="K4:U33" si="2">J4</f>
        <v>73500</v>
      </c>
      <c r="L4" s="178">
        <f t="shared" si="2"/>
        <v>73500</v>
      </c>
      <c r="M4" s="178">
        <f t="shared" si="2"/>
        <v>73500</v>
      </c>
      <c r="N4" s="178">
        <f t="shared" si="2"/>
        <v>73500</v>
      </c>
      <c r="O4" s="178">
        <f t="shared" si="2"/>
        <v>73500</v>
      </c>
      <c r="P4" s="178">
        <f t="shared" si="2"/>
        <v>73500</v>
      </c>
      <c r="Q4" s="178">
        <f t="shared" si="2"/>
        <v>73500</v>
      </c>
      <c r="R4" s="178">
        <f t="shared" si="2"/>
        <v>73500</v>
      </c>
      <c r="S4" s="178">
        <f t="shared" si="2"/>
        <v>73500</v>
      </c>
      <c r="T4" s="178">
        <f t="shared" si="2"/>
        <v>73500</v>
      </c>
      <c r="U4" s="178">
        <f t="shared" si="2"/>
        <v>73500</v>
      </c>
      <c r="V4" s="179">
        <f t="shared" ref="V4:V33" si="3">SUM(J4:U4)</f>
        <v>882000</v>
      </c>
    </row>
    <row r="5" spans="3:22" ht="12" x14ac:dyDescent="0.2">
      <c r="C5" s="177" t="s">
        <v>86</v>
      </c>
      <c r="D5" s="6" t="s">
        <v>82</v>
      </c>
      <c r="E5" s="6" t="s">
        <v>132</v>
      </c>
      <c r="F5" s="189"/>
      <c r="G5" s="191"/>
      <c r="H5" s="192">
        <v>0.05</v>
      </c>
      <c r="I5" s="187"/>
      <c r="J5" s="178">
        <f t="shared" si="1"/>
        <v>0</v>
      </c>
      <c r="K5" s="178">
        <f t="shared" si="2"/>
        <v>0</v>
      </c>
      <c r="L5" s="178">
        <f t="shared" si="2"/>
        <v>0</v>
      </c>
      <c r="M5" s="178">
        <f t="shared" si="2"/>
        <v>0</v>
      </c>
      <c r="N5" s="178">
        <v>60000</v>
      </c>
      <c r="O5" s="178">
        <f t="shared" si="2"/>
        <v>60000</v>
      </c>
      <c r="P5" s="178">
        <f t="shared" si="2"/>
        <v>60000</v>
      </c>
      <c r="Q5" s="178">
        <f t="shared" si="2"/>
        <v>60000</v>
      </c>
      <c r="R5" s="178">
        <f t="shared" si="2"/>
        <v>60000</v>
      </c>
      <c r="S5" s="178">
        <f t="shared" si="2"/>
        <v>60000</v>
      </c>
      <c r="T5" s="178">
        <f t="shared" si="2"/>
        <v>60000</v>
      </c>
      <c r="U5" s="178">
        <f t="shared" si="2"/>
        <v>60000</v>
      </c>
      <c r="V5" s="179">
        <f t="shared" si="3"/>
        <v>480000</v>
      </c>
    </row>
    <row r="6" spans="3:22" ht="12" x14ac:dyDescent="0.2">
      <c r="C6" s="177" t="s">
        <v>87</v>
      </c>
      <c r="D6" s="6" t="s">
        <v>82</v>
      </c>
      <c r="E6" s="6" t="s">
        <v>132</v>
      </c>
      <c r="F6" s="189"/>
      <c r="G6" s="191"/>
      <c r="H6" s="192">
        <v>0.05</v>
      </c>
      <c r="I6" s="187"/>
      <c r="J6" s="178">
        <f t="shared" si="1"/>
        <v>0</v>
      </c>
      <c r="K6" s="178">
        <f t="shared" si="2"/>
        <v>0</v>
      </c>
      <c r="L6" s="178">
        <f t="shared" si="2"/>
        <v>0</v>
      </c>
      <c r="M6" s="178">
        <f t="shared" si="2"/>
        <v>0</v>
      </c>
      <c r="N6" s="178">
        <v>55000</v>
      </c>
      <c r="O6" s="178">
        <f t="shared" si="2"/>
        <v>55000</v>
      </c>
      <c r="P6" s="178">
        <f t="shared" si="2"/>
        <v>55000</v>
      </c>
      <c r="Q6" s="178">
        <f t="shared" si="2"/>
        <v>55000</v>
      </c>
      <c r="R6" s="178">
        <f t="shared" si="2"/>
        <v>55000</v>
      </c>
      <c r="S6" s="178">
        <f t="shared" si="2"/>
        <v>55000</v>
      </c>
      <c r="T6" s="178">
        <f t="shared" si="2"/>
        <v>55000</v>
      </c>
      <c r="U6" s="178">
        <f t="shared" si="2"/>
        <v>55000</v>
      </c>
      <c r="V6" s="179">
        <f t="shared" si="3"/>
        <v>440000</v>
      </c>
    </row>
    <row r="7" spans="3:22" ht="12" x14ac:dyDescent="0.2">
      <c r="C7" s="177" t="s">
        <v>108</v>
      </c>
      <c r="D7" s="6" t="s">
        <v>82</v>
      </c>
      <c r="E7" s="6" t="s">
        <v>132</v>
      </c>
      <c r="F7" s="189">
        <v>35000</v>
      </c>
      <c r="G7" s="191"/>
      <c r="H7" s="192">
        <v>0.05</v>
      </c>
      <c r="I7" s="187"/>
      <c r="J7" s="178">
        <f t="shared" si="1"/>
        <v>36750</v>
      </c>
      <c r="K7" s="178">
        <f t="shared" si="2"/>
        <v>36750</v>
      </c>
      <c r="L7" s="178">
        <f t="shared" si="2"/>
        <v>36750</v>
      </c>
      <c r="M7" s="178">
        <f t="shared" si="2"/>
        <v>36750</v>
      </c>
      <c r="N7" s="178">
        <f t="shared" si="2"/>
        <v>36750</v>
      </c>
      <c r="O7" s="178">
        <f t="shared" si="2"/>
        <v>36750</v>
      </c>
      <c r="P7" s="178">
        <f t="shared" si="2"/>
        <v>36750</v>
      </c>
      <c r="Q7" s="178">
        <f t="shared" si="2"/>
        <v>36750</v>
      </c>
      <c r="R7" s="178">
        <f t="shared" si="2"/>
        <v>36750</v>
      </c>
      <c r="S7" s="178">
        <f t="shared" si="2"/>
        <v>36750</v>
      </c>
      <c r="T7" s="178">
        <f t="shared" si="2"/>
        <v>36750</v>
      </c>
      <c r="U7" s="178">
        <f t="shared" si="2"/>
        <v>36750</v>
      </c>
      <c r="V7" s="179">
        <f t="shared" si="3"/>
        <v>441000</v>
      </c>
    </row>
    <row r="8" spans="3:22" ht="12" x14ac:dyDescent="0.2">
      <c r="C8" s="177" t="s">
        <v>109</v>
      </c>
      <c r="D8" s="36" t="s">
        <v>24</v>
      </c>
      <c r="E8" s="36" t="s">
        <v>133</v>
      </c>
      <c r="F8" s="189">
        <v>160000</v>
      </c>
      <c r="G8" s="191"/>
      <c r="H8" s="192">
        <v>0.05</v>
      </c>
      <c r="I8" s="187"/>
      <c r="J8" s="178">
        <f t="shared" si="1"/>
        <v>168000</v>
      </c>
      <c r="K8" s="178">
        <f t="shared" si="2"/>
        <v>168000</v>
      </c>
      <c r="L8" s="178">
        <f t="shared" si="2"/>
        <v>168000</v>
      </c>
      <c r="M8" s="178">
        <f t="shared" si="2"/>
        <v>168000</v>
      </c>
      <c r="N8" s="178">
        <f t="shared" si="2"/>
        <v>168000</v>
      </c>
      <c r="O8" s="178">
        <f t="shared" si="2"/>
        <v>168000</v>
      </c>
      <c r="P8" s="178">
        <f t="shared" si="2"/>
        <v>168000</v>
      </c>
      <c r="Q8" s="178">
        <f t="shared" si="2"/>
        <v>168000</v>
      </c>
      <c r="R8" s="178">
        <f t="shared" si="2"/>
        <v>168000</v>
      </c>
      <c r="S8" s="178">
        <f t="shared" si="2"/>
        <v>168000</v>
      </c>
      <c r="T8" s="178">
        <f t="shared" si="2"/>
        <v>168000</v>
      </c>
      <c r="U8" s="178">
        <f t="shared" si="2"/>
        <v>168000</v>
      </c>
      <c r="V8" s="179">
        <f t="shared" si="3"/>
        <v>2016000</v>
      </c>
    </row>
    <row r="9" spans="3:22" ht="12" x14ac:dyDescent="0.2">
      <c r="C9" s="177" t="s">
        <v>109</v>
      </c>
      <c r="D9" s="36" t="s">
        <v>24</v>
      </c>
      <c r="E9" s="36" t="s">
        <v>133</v>
      </c>
      <c r="F9" s="189">
        <v>150000</v>
      </c>
      <c r="G9" s="191"/>
      <c r="H9" s="192">
        <v>0.05</v>
      </c>
      <c r="I9" s="187"/>
      <c r="J9" s="178">
        <f t="shared" si="1"/>
        <v>157500</v>
      </c>
      <c r="K9" s="178">
        <f t="shared" si="2"/>
        <v>157500</v>
      </c>
      <c r="L9" s="178">
        <f t="shared" si="2"/>
        <v>157500</v>
      </c>
      <c r="M9" s="178">
        <f t="shared" si="2"/>
        <v>157500</v>
      </c>
      <c r="N9" s="178">
        <f t="shared" si="2"/>
        <v>157500</v>
      </c>
      <c r="O9" s="178">
        <f t="shared" si="2"/>
        <v>157500</v>
      </c>
      <c r="P9" s="178">
        <f t="shared" si="2"/>
        <v>157500</v>
      </c>
      <c r="Q9" s="178">
        <f t="shared" si="2"/>
        <v>157500</v>
      </c>
      <c r="R9" s="178">
        <f t="shared" si="2"/>
        <v>157500</v>
      </c>
      <c r="S9" s="178">
        <f t="shared" si="2"/>
        <v>157500</v>
      </c>
      <c r="T9" s="178">
        <f t="shared" si="2"/>
        <v>157500</v>
      </c>
      <c r="U9" s="178">
        <f t="shared" si="2"/>
        <v>157500</v>
      </c>
      <c r="V9" s="179">
        <f t="shared" si="3"/>
        <v>1890000</v>
      </c>
    </row>
    <row r="10" spans="3:22" ht="12" x14ac:dyDescent="0.2">
      <c r="C10" s="177" t="s">
        <v>88</v>
      </c>
      <c r="D10" s="36" t="s">
        <v>24</v>
      </c>
      <c r="E10" s="36" t="s">
        <v>133</v>
      </c>
      <c r="F10" s="189">
        <v>120000</v>
      </c>
      <c r="G10" s="191"/>
      <c r="H10" s="192">
        <v>0.05</v>
      </c>
      <c r="I10" s="187"/>
      <c r="J10" s="178">
        <f t="shared" si="1"/>
        <v>126000</v>
      </c>
      <c r="K10" s="178">
        <f t="shared" si="2"/>
        <v>126000</v>
      </c>
      <c r="L10" s="178">
        <f t="shared" si="2"/>
        <v>126000</v>
      </c>
      <c r="M10" s="178">
        <v>85000</v>
      </c>
      <c r="N10" s="178">
        <f t="shared" si="2"/>
        <v>85000</v>
      </c>
      <c r="O10" s="178">
        <f t="shared" si="2"/>
        <v>85000</v>
      </c>
      <c r="P10" s="178">
        <f t="shared" si="2"/>
        <v>85000</v>
      </c>
      <c r="Q10" s="178">
        <f t="shared" si="2"/>
        <v>85000</v>
      </c>
      <c r="R10" s="178">
        <f t="shared" si="2"/>
        <v>85000</v>
      </c>
      <c r="S10" s="178">
        <f t="shared" si="2"/>
        <v>85000</v>
      </c>
      <c r="T10" s="178">
        <f t="shared" si="2"/>
        <v>85000</v>
      </c>
      <c r="U10" s="178">
        <f t="shared" si="2"/>
        <v>85000</v>
      </c>
      <c r="V10" s="179">
        <f t="shared" si="3"/>
        <v>1143000</v>
      </c>
    </row>
    <row r="11" spans="3:22" ht="12" x14ac:dyDescent="0.2">
      <c r="C11" s="177" t="s">
        <v>89</v>
      </c>
      <c r="D11" s="36" t="s">
        <v>24</v>
      </c>
      <c r="E11" s="36" t="s">
        <v>133</v>
      </c>
      <c r="F11" s="189">
        <v>130000</v>
      </c>
      <c r="G11" s="191"/>
      <c r="H11" s="192">
        <v>0.05</v>
      </c>
      <c r="I11" s="187"/>
      <c r="J11" s="178">
        <f t="shared" si="1"/>
        <v>136500</v>
      </c>
      <c r="K11" s="178">
        <f t="shared" si="2"/>
        <v>136500</v>
      </c>
      <c r="L11" s="178">
        <f t="shared" si="2"/>
        <v>136500</v>
      </c>
      <c r="M11" s="178">
        <f t="shared" si="2"/>
        <v>136500</v>
      </c>
      <c r="N11" s="178">
        <f t="shared" si="2"/>
        <v>136500</v>
      </c>
      <c r="O11" s="178">
        <f t="shared" si="2"/>
        <v>136500</v>
      </c>
      <c r="P11" s="178">
        <f t="shared" si="2"/>
        <v>136500</v>
      </c>
      <c r="Q11" s="178">
        <f t="shared" si="2"/>
        <v>136500</v>
      </c>
      <c r="R11" s="178">
        <f t="shared" si="2"/>
        <v>136500</v>
      </c>
      <c r="S11" s="178">
        <f t="shared" si="2"/>
        <v>136500</v>
      </c>
      <c r="T11" s="178">
        <f t="shared" si="2"/>
        <v>136500</v>
      </c>
      <c r="U11" s="178">
        <f t="shared" si="2"/>
        <v>136500</v>
      </c>
      <c r="V11" s="179">
        <f t="shared" si="3"/>
        <v>1638000</v>
      </c>
    </row>
    <row r="12" spans="3:22" ht="12" x14ac:dyDescent="0.2">
      <c r="C12" s="177" t="s">
        <v>90</v>
      </c>
      <c r="D12" s="36" t="s">
        <v>24</v>
      </c>
      <c r="E12" s="36" t="s">
        <v>133</v>
      </c>
      <c r="F12" s="189">
        <v>120000</v>
      </c>
      <c r="G12" s="191"/>
      <c r="H12" s="192">
        <v>0.05</v>
      </c>
      <c r="I12" s="187"/>
      <c r="J12" s="178">
        <f t="shared" si="1"/>
        <v>126000</v>
      </c>
      <c r="K12" s="178">
        <f t="shared" si="2"/>
        <v>126000</v>
      </c>
      <c r="L12" s="178">
        <f t="shared" si="2"/>
        <v>126000</v>
      </c>
      <c r="M12" s="178">
        <f t="shared" si="2"/>
        <v>126000</v>
      </c>
      <c r="N12" s="178">
        <f t="shared" si="2"/>
        <v>126000</v>
      </c>
      <c r="O12" s="178">
        <f t="shared" si="2"/>
        <v>126000</v>
      </c>
      <c r="P12" s="178">
        <f t="shared" si="2"/>
        <v>126000</v>
      </c>
      <c r="Q12" s="178">
        <f t="shared" si="2"/>
        <v>126000</v>
      </c>
      <c r="R12" s="178">
        <f t="shared" si="2"/>
        <v>126000</v>
      </c>
      <c r="S12" s="178">
        <f t="shared" si="2"/>
        <v>126000</v>
      </c>
      <c r="T12" s="178">
        <f t="shared" si="2"/>
        <v>126000</v>
      </c>
      <c r="U12" s="178">
        <f t="shared" si="2"/>
        <v>126000</v>
      </c>
      <c r="V12" s="179">
        <f t="shared" si="3"/>
        <v>1512000</v>
      </c>
    </row>
    <row r="13" spans="3:22" ht="12" x14ac:dyDescent="0.2">
      <c r="C13" s="177" t="s">
        <v>91</v>
      </c>
      <c r="D13" s="36" t="s">
        <v>24</v>
      </c>
      <c r="E13" s="36" t="s">
        <v>133</v>
      </c>
      <c r="F13" s="189"/>
      <c r="G13" s="191"/>
      <c r="H13" s="192">
        <v>0.05</v>
      </c>
      <c r="I13" s="187"/>
      <c r="J13" s="178">
        <f t="shared" si="1"/>
        <v>0</v>
      </c>
      <c r="K13" s="178">
        <f t="shared" si="2"/>
        <v>0</v>
      </c>
      <c r="L13" s="178">
        <f t="shared" si="2"/>
        <v>0</v>
      </c>
      <c r="M13" s="178">
        <f t="shared" si="2"/>
        <v>0</v>
      </c>
      <c r="N13" s="178">
        <v>90000</v>
      </c>
      <c r="O13" s="178">
        <f t="shared" si="2"/>
        <v>90000</v>
      </c>
      <c r="P13" s="178">
        <f t="shared" si="2"/>
        <v>90000</v>
      </c>
      <c r="Q13" s="178">
        <f t="shared" si="2"/>
        <v>90000</v>
      </c>
      <c r="R13" s="178">
        <f t="shared" si="2"/>
        <v>90000</v>
      </c>
      <c r="S13" s="178">
        <f t="shared" si="2"/>
        <v>90000</v>
      </c>
      <c r="T13" s="178">
        <f t="shared" si="2"/>
        <v>90000</v>
      </c>
      <c r="U13" s="178">
        <f t="shared" si="2"/>
        <v>90000</v>
      </c>
      <c r="V13" s="179">
        <f t="shared" si="3"/>
        <v>720000</v>
      </c>
    </row>
    <row r="14" spans="3:22" ht="12" x14ac:dyDescent="0.2">
      <c r="C14" s="177" t="s">
        <v>92</v>
      </c>
      <c r="D14" s="36" t="s">
        <v>24</v>
      </c>
      <c r="E14" s="36" t="s">
        <v>133</v>
      </c>
      <c r="F14" s="189">
        <v>180000</v>
      </c>
      <c r="G14" s="191"/>
      <c r="H14" s="192">
        <v>0.05</v>
      </c>
      <c r="I14" s="187"/>
      <c r="J14" s="178">
        <f t="shared" si="1"/>
        <v>189000</v>
      </c>
      <c r="K14" s="178">
        <f t="shared" si="2"/>
        <v>189000</v>
      </c>
      <c r="L14" s="178">
        <f t="shared" si="2"/>
        <v>189000</v>
      </c>
      <c r="M14" s="178">
        <f t="shared" si="2"/>
        <v>189000</v>
      </c>
      <c r="N14" s="178">
        <f t="shared" si="2"/>
        <v>189000</v>
      </c>
      <c r="O14" s="178">
        <f t="shared" si="2"/>
        <v>189000</v>
      </c>
      <c r="P14" s="178">
        <f t="shared" si="2"/>
        <v>189000</v>
      </c>
      <c r="Q14" s="178">
        <f t="shared" si="2"/>
        <v>189000</v>
      </c>
      <c r="R14" s="178">
        <f t="shared" si="2"/>
        <v>189000</v>
      </c>
      <c r="S14" s="178">
        <f t="shared" si="2"/>
        <v>189000</v>
      </c>
      <c r="T14" s="178">
        <f t="shared" si="2"/>
        <v>189000</v>
      </c>
      <c r="U14" s="178">
        <f t="shared" si="2"/>
        <v>189000</v>
      </c>
      <c r="V14" s="179">
        <f t="shared" si="3"/>
        <v>2268000</v>
      </c>
    </row>
    <row r="15" spans="3:22" ht="12" x14ac:dyDescent="0.2">
      <c r="C15" s="177" t="s">
        <v>93</v>
      </c>
      <c r="D15" s="36" t="s">
        <v>24</v>
      </c>
      <c r="E15" s="36" t="s">
        <v>133</v>
      </c>
      <c r="F15" s="189">
        <v>130000</v>
      </c>
      <c r="G15" s="191"/>
      <c r="H15" s="192">
        <v>0.05</v>
      </c>
      <c r="I15" s="187"/>
      <c r="J15" s="178">
        <f t="shared" si="1"/>
        <v>136500</v>
      </c>
      <c r="K15" s="178">
        <f t="shared" si="2"/>
        <v>136500</v>
      </c>
      <c r="L15" s="178">
        <f t="shared" si="2"/>
        <v>136500</v>
      </c>
      <c r="M15" s="178">
        <f t="shared" si="2"/>
        <v>136500</v>
      </c>
      <c r="N15" s="178">
        <f t="shared" si="2"/>
        <v>136500</v>
      </c>
      <c r="O15" s="178">
        <f t="shared" si="2"/>
        <v>136500</v>
      </c>
      <c r="P15" s="178">
        <f t="shared" si="2"/>
        <v>136500</v>
      </c>
      <c r="Q15" s="178">
        <f t="shared" si="2"/>
        <v>136500</v>
      </c>
      <c r="R15" s="178">
        <f t="shared" si="2"/>
        <v>136500</v>
      </c>
      <c r="S15" s="178">
        <f t="shared" si="2"/>
        <v>136500</v>
      </c>
      <c r="T15" s="178">
        <f t="shared" si="2"/>
        <v>136500</v>
      </c>
      <c r="U15" s="178">
        <f t="shared" si="2"/>
        <v>136500</v>
      </c>
      <c r="V15" s="179">
        <f t="shared" si="3"/>
        <v>1638000</v>
      </c>
    </row>
    <row r="16" spans="3:22" ht="12" x14ac:dyDescent="0.2">
      <c r="C16" s="177" t="s">
        <v>93</v>
      </c>
      <c r="D16" s="36" t="s">
        <v>24</v>
      </c>
      <c r="E16" s="36" t="s">
        <v>133</v>
      </c>
      <c r="F16" s="189">
        <v>110000</v>
      </c>
      <c r="G16" s="191"/>
      <c r="H16" s="192">
        <v>0.05</v>
      </c>
      <c r="I16" s="187"/>
      <c r="J16" s="178">
        <f t="shared" si="1"/>
        <v>115500</v>
      </c>
      <c r="K16" s="178">
        <f t="shared" si="2"/>
        <v>115500</v>
      </c>
      <c r="L16" s="178">
        <f t="shared" si="2"/>
        <v>115500</v>
      </c>
      <c r="M16" s="178">
        <f t="shared" si="2"/>
        <v>115500</v>
      </c>
      <c r="N16" s="178">
        <f t="shared" si="2"/>
        <v>115500</v>
      </c>
      <c r="O16" s="178">
        <f t="shared" si="2"/>
        <v>115500</v>
      </c>
      <c r="P16" s="178">
        <f t="shared" si="2"/>
        <v>115500</v>
      </c>
      <c r="Q16" s="178">
        <f t="shared" si="2"/>
        <v>115500</v>
      </c>
      <c r="R16" s="178">
        <f t="shared" si="2"/>
        <v>115500</v>
      </c>
      <c r="S16" s="178">
        <f t="shared" si="2"/>
        <v>115500</v>
      </c>
      <c r="T16" s="178">
        <f t="shared" si="2"/>
        <v>115500</v>
      </c>
      <c r="U16" s="178">
        <f t="shared" si="2"/>
        <v>115500</v>
      </c>
      <c r="V16" s="179">
        <f t="shared" si="3"/>
        <v>1386000</v>
      </c>
    </row>
    <row r="17" spans="3:22" ht="12" x14ac:dyDescent="0.2">
      <c r="C17" s="177" t="s">
        <v>92</v>
      </c>
      <c r="D17" s="36" t="s">
        <v>24</v>
      </c>
      <c r="E17" s="36" t="s">
        <v>133</v>
      </c>
      <c r="F17" s="189"/>
      <c r="G17" s="191"/>
      <c r="H17" s="192">
        <v>0.05</v>
      </c>
      <c r="I17" s="187"/>
      <c r="J17" s="178">
        <f t="shared" si="1"/>
        <v>0</v>
      </c>
      <c r="K17" s="178">
        <f t="shared" si="2"/>
        <v>0</v>
      </c>
      <c r="L17" s="178">
        <f t="shared" si="2"/>
        <v>0</v>
      </c>
      <c r="M17" s="178">
        <f t="shared" si="2"/>
        <v>0</v>
      </c>
      <c r="N17" s="178">
        <f t="shared" si="2"/>
        <v>0</v>
      </c>
      <c r="O17" s="178">
        <f t="shared" si="2"/>
        <v>0</v>
      </c>
      <c r="P17" s="178">
        <v>120000</v>
      </c>
      <c r="Q17" s="178">
        <f t="shared" si="2"/>
        <v>120000</v>
      </c>
      <c r="R17" s="178">
        <f t="shared" si="2"/>
        <v>120000</v>
      </c>
      <c r="S17" s="178">
        <f t="shared" si="2"/>
        <v>120000</v>
      </c>
      <c r="T17" s="178">
        <f t="shared" si="2"/>
        <v>120000</v>
      </c>
      <c r="U17" s="178">
        <f t="shared" si="2"/>
        <v>120000</v>
      </c>
      <c r="V17" s="179">
        <f t="shared" si="3"/>
        <v>720000</v>
      </c>
    </row>
    <row r="18" spans="3:22" ht="12" x14ac:dyDescent="0.2">
      <c r="C18" s="177" t="s">
        <v>93</v>
      </c>
      <c r="D18" s="36" t="s">
        <v>24</v>
      </c>
      <c r="E18" s="36" t="s">
        <v>133</v>
      </c>
      <c r="F18" s="189"/>
      <c r="G18" s="191"/>
      <c r="H18" s="192"/>
      <c r="I18" s="187"/>
      <c r="J18" s="178">
        <f t="shared" si="1"/>
        <v>0</v>
      </c>
      <c r="K18" s="178">
        <f t="shared" si="2"/>
        <v>0</v>
      </c>
      <c r="L18" s="178">
        <f t="shared" si="2"/>
        <v>0</v>
      </c>
      <c r="M18" s="178">
        <f t="shared" si="2"/>
        <v>0</v>
      </c>
      <c r="N18" s="178">
        <f t="shared" si="2"/>
        <v>0</v>
      </c>
      <c r="O18" s="178">
        <f t="shared" si="2"/>
        <v>0</v>
      </c>
      <c r="P18" s="178">
        <v>0</v>
      </c>
      <c r="Q18" s="178">
        <v>140000</v>
      </c>
      <c r="R18" s="178">
        <f t="shared" si="2"/>
        <v>140000</v>
      </c>
      <c r="S18" s="178">
        <f t="shared" si="2"/>
        <v>140000</v>
      </c>
      <c r="T18" s="178">
        <f t="shared" si="2"/>
        <v>140000</v>
      </c>
      <c r="U18" s="178">
        <f t="shared" si="2"/>
        <v>140000</v>
      </c>
      <c r="V18" s="179">
        <f t="shared" si="3"/>
        <v>700000</v>
      </c>
    </row>
    <row r="19" spans="3:22" ht="12" x14ac:dyDescent="0.2">
      <c r="C19" s="177" t="s">
        <v>92</v>
      </c>
      <c r="D19" s="36" t="s">
        <v>24</v>
      </c>
      <c r="E19" s="36" t="s">
        <v>133</v>
      </c>
      <c r="F19" s="189"/>
      <c r="G19" s="191"/>
      <c r="H19" s="192"/>
      <c r="I19" s="187"/>
      <c r="J19" s="178">
        <f t="shared" si="1"/>
        <v>0</v>
      </c>
      <c r="K19" s="178">
        <f t="shared" si="2"/>
        <v>0</v>
      </c>
      <c r="L19" s="178">
        <f t="shared" si="2"/>
        <v>0</v>
      </c>
      <c r="M19" s="178">
        <f t="shared" si="2"/>
        <v>0</v>
      </c>
      <c r="N19" s="178">
        <f t="shared" si="2"/>
        <v>0</v>
      </c>
      <c r="O19" s="178">
        <f t="shared" si="2"/>
        <v>0</v>
      </c>
      <c r="P19" s="178">
        <f t="shared" si="2"/>
        <v>0</v>
      </c>
      <c r="Q19" s="178">
        <f t="shared" si="2"/>
        <v>0</v>
      </c>
      <c r="R19" s="178">
        <f t="shared" si="2"/>
        <v>0</v>
      </c>
      <c r="S19" s="178">
        <f t="shared" si="2"/>
        <v>0</v>
      </c>
      <c r="T19" s="178">
        <f t="shared" si="2"/>
        <v>0</v>
      </c>
      <c r="U19" s="178">
        <f t="shared" si="2"/>
        <v>0</v>
      </c>
      <c r="V19" s="179">
        <f t="shared" si="3"/>
        <v>0</v>
      </c>
    </row>
    <row r="20" spans="3:22" ht="12" x14ac:dyDescent="0.2">
      <c r="C20" s="177" t="s">
        <v>94</v>
      </c>
      <c r="D20" s="36" t="s">
        <v>24</v>
      </c>
      <c r="E20" s="36" t="s">
        <v>133</v>
      </c>
      <c r="F20" s="189">
        <v>140000</v>
      </c>
      <c r="G20" s="191"/>
      <c r="H20" s="192">
        <v>0.05</v>
      </c>
      <c r="I20" s="187"/>
      <c r="J20" s="178">
        <f t="shared" si="1"/>
        <v>147000</v>
      </c>
      <c r="K20" s="178">
        <f t="shared" si="2"/>
        <v>147000</v>
      </c>
      <c r="L20" s="178">
        <f t="shared" si="2"/>
        <v>147000</v>
      </c>
      <c r="M20" s="178">
        <f t="shared" si="2"/>
        <v>147000</v>
      </c>
      <c r="N20" s="178">
        <f t="shared" si="2"/>
        <v>147000</v>
      </c>
      <c r="O20" s="178">
        <f t="shared" si="2"/>
        <v>147000</v>
      </c>
      <c r="P20" s="178">
        <f t="shared" si="2"/>
        <v>147000</v>
      </c>
      <c r="Q20" s="178">
        <f t="shared" si="2"/>
        <v>147000</v>
      </c>
      <c r="R20" s="178">
        <f t="shared" si="2"/>
        <v>147000</v>
      </c>
      <c r="S20" s="178">
        <f t="shared" si="2"/>
        <v>147000</v>
      </c>
      <c r="T20" s="178">
        <f t="shared" si="2"/>
        <v>147000</v>
      </c>
      <c r="U20" s="178">
        <f t="shared" si="2"/>
        <v>147000</v>
      </c>
      <c r="V20" s="179">
        <f t="shared" si="3"/>
        <v>1764000</v>
      </c>
    </row>
    <row r="21" spans="3:22" ht="12" x14ac:dyDescent="0.2">
      <c r="C21" s="177" t="s">
        <v>94</v>
      </c>
      <c r="D21" s="36" t="s">
        <v>24</v>
      </c>
      <c r="E21" s="36" t="s">
        <v>133</v>
      </c>
      <c r="F21" s="189">
        <v>120000</v>
      </c>
      <c r="G21" s="191"/>
      <c r="H21" s="192">
        <v>0.05</v>
      </c>
      <c r="I21" s="187"/>
      <c r="J21" s="178">
        <f t="shared" si="1"/>
        <v>126000</v>
      </c>
      <c r="K21" s="178">
        <f t="shared" si="2"/>
        <v>126000</v>
      </c>
      <c r="L21" s="178">
        <f t="shared" si="2"/>
        <v>126000</v>
      </c>
      <c r="M21" s="178">
        <f t="shared" si="2"/>
        <v>126000</v>
      </c>
      <c r="N21" s="178">
        <f t="shared" si="2"/>
        <v>126000</v>
      </c>
      <c r="O21" s="178">
        <f t="shared" si="2"/>
        <v>126000</v>
      </c>
      <c r="P21" s="178">
        <f t="shared" si="2"/>
        <v>126000</v>
      </c>
      <c r="Q21" s="178">
        <f t="shared" si="2"/>
        <v>126000</v>
      </c>
      <c r="R21" s="178">
        <f t="shared" si="2"/>
        <v>126000</v>
      </c>
      <c r="S21" s="178">
        <f t="shared" si="2"/>
        <v>126000</v>
      </c>
      <c r="T21" s="178">
        <f t="shared" si="2"/>
        <v>126000</v>
      </c>
      <c r="U21" s="178">
        <f t="shared" si="2"/>
        <v>126000</v>
      </c>
      <c r="V21" s="179">
        <f t="shared" si="3"/>
        <v>1512000</v>
      </c>
    </row>
    <row r="22" spans="3:22" ht="12" x14ac:dyDescent="0.2">
      <c r="C22" s="177" t="s">
        <v>94</v>
      </c>
      <c r="D22" s="36" t="s">
        <v>24</v>
      </c>
      <c r="E22" s="36" t="s">
        <v>133</v>
      </c>
      <c r="F22" s="189"/>
      <c r="G22" s="191"/>
      <c r="H22" s="192">
        <v>0.05</v>
      </c>
      <c r="I22" s="187"/>
      <c r="J22" s="178">
        <f t="shared" si="1"/>
        <v>0</v>
      </c>
      <c r="K22" s="178">
        <f t="shared" si="2"/>
        <v>0</v>
      </c>
      <c r="L22" s="178">
        <f t="shared" si="2"/>
        <v>0</v>
      </c>
      <c r="M22" s="178">
        <f t="shared" si="2"/>
        <v>0</v>
      </c>
      <c r="N22" s="178">
        <f t="shared" si="2"/>
        <v>0</v>
      </c>
      <c r="O22" s="178">
        <f t="shared" si="2"/>
        <v>0</v>
      </c>
      <c r="P22" s="178">
        <f t="shared" si="2"/>
        <v>0</v>
      </c>
      <c r="Q22" s="178">
        <f t="shared" si="2"/>
        <v>0</v>
      </c>
      <c r="R22" s="178">
        <f t="shared" si="2"/>
        <v>0</v>
      </c>
      <c r="S22" s="178">
        <f t="shared" si="2"/>
        <v>0</v>
      </c>
      <c r="T22" s="178">
        <f t="shared" si="2"/>
        <v>0</v>
      </c>
      <c r="U22" s="178">
        <f t="shared" si="2"/>
        <v>0</v>
      </c>
      <c r="V22" s="179">
        <f t="shared" si="3"/>
        <v>0</v>
      </c>
    </row>
    <row r="23" spans="3:22" ht="12" x14ac:dyDescent="0.2">
      <c r="C23" s="177" t="s">
        <v>94</v>
      </c>
      <c r="D23" s="36" t="s">
        <v>24</v>
      </c>
      <c r="E23" s="36" t="s">
        <v>133</v>
      </c>
      <c r="F23" s="189"/>
      <c r="G23" s="191"/>
      <c r="H23" s="192">
        <v>0.05</v>
      </c>
      <c r="I23" s="187"/>
      <c r="J23" s="178">
        <f t="shared" si="1"/>
        <v>0</v>
      </c>
      <c r="K23" s="178">
        <f t="shared" si="2"/>
        <v>0</v>
      </c>
      <c r="L23" s="178">
        <f t="shared" si="2"/>
        <v>0</v>
      </c>
      <c r="M23" s="178">
        <f t="shared" si="2"/>
        <v>0</v>
      </c>
      <c r="N23" s="178">
        <f t="shared" si="2"/>
        <v>0</v>
      </c>
      <c r="O23" s="178">
        <f t="shared" si="2"/>
        <v>0</v>
      </c>
      <c r="P23" s="178">
        <f t="shared" si="2"/>
        <v>0</v>
      </c>
      <c r="Q23" s="178">
        <f t="shared" si="2"/>
        <v>0</v>
      </c>
      <c r="R23" s="178">
        <f t="shared" si="2"/>
        <v>0</v>
      </c>
      <c r="S23" s="178">
        <f t="shared" si="2"/>
        <v>0</v>
      </c>
      <c r="T23" s="178">
        <f t="shared" si="2"/>
        <v>0</v>
      </c>
      <c r="U23" s="178">
        <f t="shared" si="2"/>
        <v>0</v>
      </c>
      <c r="V23" s="179">
        <f t="shared" si="3"/>
        <v>0</v>
      </c>
    </row>
    <row r="24" spans="3:22" ht="12" x14ac:dyDescent="0.2">
      <c r="C24" s="177" t="s">
        <v>105</v>
      </c>
      <c r="D24" s="36" t="s">
        <v>24</v>
      </c>
      <c r="E24" s="36" t="s">
        <v>133</v>
      </c>
      <c r="F24" s="189">
        <v>90000</v>
      </c>
      <c r="G24" s="191"/>
      <c r="H24" s="192">
        <v>0.05</v>
      </c>
      <c r="I24" s="187"/>
      <c r="J24" s="178">
        <f t="shared" si="1"/>
        <v>94500</v>
      </c>
      <c r="K24" s="178">
        <f t="shared" si="2"/>
        <v>94500</v>
      </c>
      <c r="L24" s="178">
        <f t="shared" si="2"/>
        <v>94500</v>
      </c>
      <c r="M24" s="178">
        <f t="shared" si="2"/>
        <v>94500</v>
      </c>
      <c r="N24" s="178">
        <f t="shared" si="2"/>
        <v>94500</v>
      </c>
      <c r="O24" s="178">
        <f t="shared" si="2"/>
        <v>94500</v>
      </c>
      <c r="P24" s="178">
        <f t="shared" si="2"/>
        <v>94500</v>
      </c>
      <c r="Q24" s="178">
        <f t="shared" ref="L24:U33" si="4">P24</f>
        <v>94500</v>
      </c>
      <c r="R24" s="178">
        <f t="shared" si="4"/>
        <v>94500</v>
      </c>
      <c r="S24" s="178">
        <f t="shared" si="4"/>
        <v>94500</v>
      </c>
      <c r="T24" s="178">
        <f t="shared" si="4"/>
        <v>94500</v>
      </c>
      <c r="U24" s="178">
        <f t="shared" si="4"/>
        <v>94500</v>
      </c>
      <c r="V24" s="179">
        <f t="shared" si="3"/>
        <v>1134000</v>
      </c>
    </row>
    <row r="25" spans="3:22" ht="12" x14ac:dyDescent="0.2">
      <c r="C25" s="177" t="s">
        <v>107</v>
      </c>
      <c r="D25" s="36" t="s">
        <v>32</v>
      </c>
      <c r="E25" s="36" t="s">
        <v>134</v>
      </c>
      <c r="F25" s="189">
        <v>120000</v>
      </c>
      <c r="G25" s="191"/>
      <c r="H25" s="192">
        <v>0.05</v>
      </c>
      <c r="I25" s="187"/>
      <c r="J25" s="178">
        <f t="shared" si="1"/>
        <v>126000</v>
      </c>
      <c r="K25" s="178">
        <f t="shared" si="2"/>
        <v>126000</v>
      </c>
      <c r="L25" s="178">
        <f t="shared" si="4"/>
        <v>126000</v>
      </c>
      <c r="M25" s="178">
        <f t="shared" si="4"/>
        <v>126000</v>
      </c>
      <c r="N25" s="178">
        <f t="shared" si="4"/>
        <v>126000</v>
      </c>
      <c r="O25" s="178">
        <f t="shared" si="4"/>
        <v>126000</v>
      </c>
      <c r="P25" s="178">
        <f t="shared" si="4"/>
        <v>126000</v>
      </c>
      <c r="Q25" s="178">
        <f t="shared" si="4"/>
        <v>126000</v>
      </c>
      <c r="R25" s="178">
        <f t="shared" si="4"/>
        <v>126000</v>
      </c>
      <c r="S25" s="178">
        <f t="shared" si="4"/>
        <v>126000</v>
      </c>
      <c r="T25" s="178">
        <f t="shared" si="4"/>
        <v>126000</v>
      </c>
      <c r="U25" s="178">
        <f t="shared" si="4"/>
        <v>126000</v>
      </c>
      <c r="V25" s="179">
        <f t="shared" si="3"/>
        <v>1512000</v>
      </c>
    </row>
    <row r="26" spans="3:22" ht="12" x14ac:dyDescent="0.2">
      <c r="C26" s="177" t="s">
        <v>95</v>
      </c>
      <c r="D26" s="36" t="s">
        <v>32</v>
      </c>
      <c r="E26" s="36" t="s">
        <v>134</v>
      </c>
      <c r="F26" s="189">
        <v>60000</v>
      </c>
      <c r="G26" s="191"/>
      <c r="H26" s="192">
        <v>0.05</v>
      </c>
      <c r="I26" s="187"/>
      <c r="J26" s="178">
        <f t="shared" si="1"/>
        <v>63000</v>
      </c>
      <c r="K26" s="178">
        <f t="shared" si="2"/>
        <v>63000</v>
      </c>
      <c r="L26" s="178">
        <f t="shared" si="4"/>
        <v>63000</v>
      </c>
      <c r="M26" s="178">
        <f t="shared" si="4"/>
        <v>63000</v>
      </c>
      <c r="N26" s="178">
        <f t="shared" si="4"/>
        <v>63000</v>
      </c>
      <c r="O26" s="178">
        <f t="shared" si="4"/>
        <v>63000</v>
      </c>
      <c r="P26" s="178">
        <f t="shared" si="4"/>
        <v>63000</v>
      </c>
      <c r="Q26" s="178">
        <f t="shared" si="4"/>
        <v>63000</v>
      </c>
      <c r="R26" s="178">
        <f t="shared" si="4"/>
        <v>63000</v>
      </c>
      <c r="S26" s="178">
        <f t="shared" si="4"/>
        <v>63000</v>
      </c>
      <c r="T26" s="178">
        <f t="shared" si="4"/>
        <v>63000</v>
      </c>
      <c r="U26" s="178">
        <f t="shared" si="4"/>
        <v>63000</v>
      </c>
      <c r="V26" s="179">
        <f t="shared" si="3"/>
        <v>756000</v>
      </c>
    </row>
    <row r="27" spans="3:22" ht="12" x14ac:dyDescent="0.2">
      <c r="C27" s="177" t="s">
        <v>96</v>
      </c>
      <c r="D27" s="36" t="s">
        <v>32</v>
      </c>
      <c r="E27" s="36" t="s">
        <v>134</v>
      </c>
      <c r="F27" s="189"/>
      <c r="G27" s="191"/>
      <c r="H27" s="192">
        <v>0.05</v>
      </c>
      <c r="I27" s="187"/>
      <c r="J27" s="178">
        <f t="shared" si="1"/>
        <v>0</v>
      </c>
      <c r="K27" s="178">
        <f t="shared" si="2"/>
        <v>0</v>
      </c>
      <c r="L27" s="178">
        <f t="shared" si="4"/>
        <v>0</v>
      </c>
      <c r="M27" s="178">
        <f t="shared" si="4"/>
        <v>0</v>
      </c>
      <c r="N27" s="178">
        <v>90000</v>
      </c>
      <c r="O27" s="178">
        <f t="shared" si="4"/>
        <v>90000</v>
      </c>
      <c r="P27" s="178">
        <f t="shared" si="4"/>
        <v>90000</v>
      </c>
      <c r="Q27" s="178">
        <f t="shared" si="4"/>
        <v>90000</v>
      </c>
      <c r="R27" s="178">
        <f t="shared" si="4"/>
        <v>90000</v>
      </c>
      <c r="S27" s="178">
        <f t="shared" si="4"/>
        <v>90000</v>
      </c>
      <c r="T27" s="178">
        <f t="shared" si="4"/>
        <v>90000</v>
      </c>
      <c r="U27" s="178">
        <f t="shared" si="4"/>
        <v>90000</v>
      </c>
      <c r="V27" s="179">
        <f t="shared" si="3"/>
        <v>720000</v>
      </c>
    </row>
    <row r="28" spans="3:22" ht="12" x14ac:dyDescent="0.2">
      <c r="C28" s="177" t="s">
        <v>97</v>
      </c>
      <c r="D28" s="36" t="s">
        <v>32</v>
      </c>
      <c r="E28" s="36" t="s">
        <v>134</v>
      </c>
      <c r="F28" s="189"/>
      <c r="G28" s="191"/>
      <c r="H28" s="192">
        <v>0.05</v>
      </c>
      <c r="I28" s="187"/>
      <c r="J28" s="178">
        <f t="shared" si="1"/>
        <v>0</v>
      </c>
      <c r="K28" s="178">
        <f t="shared" si="2"/>
        <v>0</v>
      </c>
      <c r="L28" s="178">
        <f t="shared" si="4"/>
        <v>0</v>
      </c>
      <c r="M28" s="178">
        <f t="shared" si="4"/>
        <v>0</v>
      </c>
      <c r="N28" s="178">
        <v>90000</v>
      </c>
      <c r="O28" s="178">
        <f t="shared" si="4"/>
        <v>90000</v>
      </c>
      <c r="P28" s="178">
        <f t="shared" si="4"/>
        <v>90000</v>
      </c>
      <c r="Q28" s="178">
        <f t="shared" si="4"/>
        <v>90000</v>
      </c>
      <c r="R28" s="178">
        <f t="shared" si="4"/>
        <v>90000</v>
      </c>
      <c r="S28" s="178">
        <f t="shared" si="4"/>
        <v>90000</v>
      </c>
      <c r="T28" s="178">
        <f t="shared" si="4"/>
        <v>90000</v>
      </c>
      <c r="U28" s="178">
        <f t="shared" si="4"/>
        <v>90000</v>
      </c>
      <c r="V28" s="179">
        <f t="shared" si="3"/>
        <v>720000</v>
      </c>
    </row>
    <row r="29" spans="3:22" ht="12" x14ac:dyDescent="0.2">
      <c r="C29" s="177" t="s">
        <v>106</v>
      </c>
      <c r="D29" s="36" t="s">
        <v>13</v>
      </c>
      <c r="E29" s="36" t="s">
        <v>135</v>
      </c>
      <c r="F29" s="189">
        <v>65000</v>
      </c>
      <c r="G29" s="191"/>
      <c r="H29" s="192">
        <v>0.05</v>
      </c>
      <c r="I29" s="187"/>
      <c r="J29" s="178">
        <f t="shared" si="1"/>
        <v>68250</v>
      </c>
      <c r="K29" s="178">
        <f t="shared" si="2"/>
        <v>68250</v>
      </c>
      <c r="L29" s="178">
        <f t="shared" si="4"/>
        <v>68250</v>
      </c>
      <c r="M29" s="178">
        <f t="shared" si="4"/>
        <v>68250</v>
      </c>
      <c r="N29" s="178">
        <f t="shared" si="4"/>
        <v>68250</v>
      </c>
      <c r="O29" s="178">
        <f t="shared" si="4"/>
        <v>68250</v>
      </c>
      <c r="P29" s="178">
        <f t="shared" si="4"/>
        <v>68250</v>
      </c>
      <c r="Q29" s="178">
        <f t="shared" si="4"/>
        <v>68250</v>
      </c>
      <c r="R29" s="178">
        <f t="shared" si="4"/>
        <v>68250</v>
      </c>
      <c r="S29" s="178">
        <f t="shared" si="4"/>
        <v>68250</v>
      </c>
      <c r="T29" s="178">
        <f t="shared" si="4"/>
        <v>68250</v>
      </c>
      <c r="U29" s="178">
        <f t="shared" si="4"/>
        <v>68250</v>
      </c>
      <c r="V29" s="179">
        <f t="shared" si="3"/>
        <v>819000</v>
      </c>
    </row>
    <row r="30" spans="3:22" ht="12" x14ac:dyDescent="0.2">
      <c r="C30" s="177" t="s">
        <v>98</v>
      </c>
      <c r="D30" s="36" t="s">
        <v>13</v>
      </c>
      <c r="E30" s="36" t="s">
        <v>135</v>
      </c>
      <c r="F30" s="189"/>
      <c r="G30" s="191"/>
      <c r="H30" s="192">
        <v>0.05</v>
      </c>
      <c r="I30" s="187"/>
      <c r="J30" s="178">
        <f t="shared" si="1"/>
        <v>0</v>
      </c>
      <c r="K30" s="178">
        <f t="shared" si="2"/>
        <v>0</v>
      </c>
      <c r="L30" s="178">
        <f t="shared" si="4"/>
        <v>0</v>
      </c>
      <c r="M30" s="178">
        <f t="shared" si="4"/>
        <v>0</v>
      </c>
      <c r="N30" s="178">
        <f t="shared" si="4"/>
        <v>0</v>
      </c>
      <c r="O30" s="178">
        <f t="shared" si="4"/>
        <v>0</v>
      </c>
      <c r="P30" s="178">
        <f t="shared" si="4"/>
        <v>0</v>
      </c>
      <c r="Q30" s="178">
        <f t="shared" si="4"/>
        <v>0</v>
      </c>
      <c r="R30" s="178">
        <f t="shared" si="4"/>
        <v>0</v>
      </c>
      <c r="S30" s="178">
        <f t="shared" si="4"/>
        <v>0</v>
      </c>
      <c r="T30" s="178">
        <f t="shared" si="4"/>
        <v>0</v>
      </c>
      <c r="U30" s="178">
        <f t="shared" si="4"/>
        <v>0</v>
      </c>
      <c r="V30" s="179">
        <f t="shared" si="3"/>
        <v>0</v>
      </c>
    </row>
    <row r="31" spans="3:22" ht="12" x14ac:dyDescent="0.2">
      <c r="C31" s="177" t="s">
        <v>99</v>
      </c>
      <c r="D31" s="36" t="s">
        <v>13</v>
      </c>
      <c r="E31" s="36" t="s">
        <v>135</v>
      </c>
      <c r="F31" s="189"/>
      <c r="G31" s="191"/>
      <c r="H31" s="192">
        <v>0.05</v>
      </c>
      <c r="I31" s="187"/>
      <c r="J31" s="178">
        <f t="shared" si="1"/>
        <v>0</v>
      </c>
      <c r="K31" s="178">
        <f t="shared" si="2"/>
        <v>0</v>
      </c>
      <c r="L31" s="178">
        <f t="shared" si="4"/>
        <v>0</v>
      </c>
      <c r="M31" s="178">
        <f t="shared" si="4"/>
        <v>0</v>
      </c>
      <c r="N31" s="178">
        <f t="shared" si="4"/>
        <v>0</v>
      </c>
      <c r="O31" s="178">
        <f t="shared" si="4"/>
        <v>0</v>
      </c>
      <c r="P31" s="178">
        <f t="shared" si="4"/>
        <v>0</v>
      </c>
      <c r="Q31" s="178">
        <f t="shared" si="4"/>
        <v>0</v>
      </c>
      <c r="R31" s="178">
        <f t="shared" si="4"/>
        <v>0</v>
      </c>
      <c r="S31" s="178">
        <f t="shared" si="4"/>
        <v>0</v>
      </c>
      <c r="T31" s="178">
        <f t="shared" si="4"/>
        <v>0</v>
      </c>
      <c r="U31" s="178">
        <f t="shared" si="4"/>
        <v>0</v>
      </c>
      <c r="V31" s="179">
        <f t="shared" si="3"/>
        <v>0</v>
      </c>
    </row>
    <row r="32" spans="3:22" ht="12" x14ac:dyDescent="0.2">
      <c r="C32" s="177" t="s">
        <v>100</v>
      </c>
      <c r="D32" s="36" t="s">
        <v>13</v>
      </c>
      <c r="E32" s="36" t="s">
        <v>135</v>
      </c>
      <c r="F32" s="189"/>
      <c r="G32" s="191"/>
      <c r="H32" s="192">
        <v>0.05</v>
      </c>
      <c r="I32" s="187"/>
      <c r="J32" s="178">
        <f t="shared" si="1"/>
        <v>0</v>
      </c>
      <c r="K32" s="178">
        <f t="shared" si="2"/>
        <v>0</v>
      </c>
      <c r="L32" s="178">
        <f t="shared" si="4"/>
        <v>0</v>
      </c>
      <c r="M32" s="178">
        <f t="shared" si="4"/>
        <v>0</v>
      </c>
      <c r="N32" s="178">
        <f t="shared" si="4"/>
        <v>0</v>
      </c>
      <c r="O32" s="178">
        <f t="shared" si="4"/>
        <v>0</v>
      </c>
      <c r="P32" s="178">
        <f t="shared" si="4"/>
        <v>0</v>
      </c>
      <c r="Q32" s="178">
        <f t="shared" si="4"/>
        <v>0</v>
      </c>
      <c r="R32" s="178">
        <f t="shared" si="4"/>
        <v>0</v>
      </c>
      <c r="S32" s="178">
        <f t="shared" si="4"/>
        <v>0</v>
      </c>
      <c r="T32" s="178">
        <f t="shared" si="4"/>
        <v>0</v>
      </c>
      <c r="U32" s="178">
        <f t="shared" si="4"/>
        <v>0</v>
      </c>
      <c r="V32" s="179">
        <f t="shared" si="3"/>
        <v>0</v>
      </c>
    </row>
    <row r="33" spans="3:22" ht="12.75" thickBot="1" x14ac:dyDescent="0.25">
      <c r="C33" s="177" t="s">
        <v>101</v>
      </c>
      <c r="D33" s="6" t="s">
        <v>76</v>
      </c>
      <c r="E33" s="188" t="s">
        <v>136</v>
      </c>
      <c r="F33" s="190">
        <v>34000</v>
      </c>
      <c r="G33" s="191"/>
      <c r="H33" s="193">
        <v>0.05</v>
      </c>
      <c r="I33" s="187"/>
      <c r="J33" s="178">
        <f t="shared" si="1"/>
        <v>35700</v>
      </c>
      <c r="K33" s="178">
        <f t="shared" si="2"/>
        <v>35700</v>
      </c>
      <c r="L33" s="178">
        <f t="shared" si="4"/>
        <v>35700</v>
      </c>
      <c r="M33" s="178">
        <f t="shared" si="4"/>
        <v>35700</v>
      </c>
      <c r="N33" s="178">
        <f t="shared" si="4"/>
        <v>35700</v>
      </c>
      <c r="O33" s="178">
        <f t="shared" si="4"/>
        <v>35700</v>
      </c>
      <c r="P33" s="178">
        <f t="shared" si="4"/>
        <v>35700</v>
      </c>
      <c r="Q33" s="178">
        <f t="shared" si="4"/>
        <v>35700</v>
      </c>
      <c r="R33" s="178">
        <f t="shared" si="4"/>
        <v>35700</v>
      </c>
      <c r="S33" s="178">
        <f t="shared" si="4"/>
        <v>35700</v>
      </c>
      <c r="T33" s="178">
        <f t="shared" si="4"/>
        <v>35700</v>
      </c>
      <c r="U33" s="178">
        <f t="shared" si="4"/>
        <v>35700</v>
      </c>
      <c r="V33" s="179">
        <f t="shared" si="3"/>
        <v>428400</v>
      </c>
    </row>
    <row r="36" spans="3:22" x14ac:dyDescent="0.2">
      <c r="D36" s="180" t="s">
        <v>120</v>
      </c>
    </row>
    <row r="37" spans="3:22" ht="12" x14ac:dyDescent="0.2">
      <c r="D37" s="36" t="s">
        <v>24</v>
      </c>
      <c r="J37" s="178">
        <f>SUMIF($D$3:$D$33,$D$37,J3:J33)</f>
        <v>1522500</v>
      </c>
      <c r="K37" s="178">
        <f t="shared" ref="K37:U37" si="5">SUMIF($D$3:$D$33,$D$37,K3:K33)</f>
        <v>1522500</v>
      </c>
      <c r="L37" s="178">
        <f t="shared" si="5"/>
        <v>1522500</v>
      </c>
      <c r="M37" s="178">
        <f t="shared" si="5"/>
        <v>1481500</v>
      </c>
      <c r="N37" s="178">
        <f t="shared" si="5"/>
        <v>1571500</v>
      </c>
      <c r="O37" s="178">
        <f t="shared" si="5"/>
        <v>1571500</v>
      </c>
      <c r="P37" s="178">
        <f t="shared" si="5"/>
        <v>1691500</v>
      </c>
      <c r="Q37" s="178">
        <f t="shared" si="5"/>
        <v>1831500</v>
      </c>
      <c r="R37" s="178">
        <f t="shared" si="5"/>
        <v>1831500</v>
      </c>
      <c r="S37" s="178">
        <f t="shared" si="5"/>
        <v>1831500</v>
      </c>
      <c r="T37" s="178">
        <f t="shared" si="5"/>
        <v>1831500</v>
      </c>
      <c r="U37" s="178">
        <f t="shared" si="5"/>
        <v>1831500</v>
      </c>
      <c r="V37" s="179">
        <f t="shared" ref="V37:V42" si="6">SUM(J37:U37)</f>
        <v>20041000</v>
      </c>
    </row>
    <row r="38" spans="3:22" ht="12" x14ac:dyDescent="0.2">
      <c r="D38" s="36" t="s">
        <v>141</v>
      </c>
      <c r="J38" s="178">
        <f>FINPLAN_NEW!C7</f>
        <v>1165912.2185222509</v>
      </c>
      <c r="K38" s="178">
        <f>FINPLAN_NEW!D7</f>
        <v>1177693.4847167486</v>
      </c>
      <c r="L38" s="178">
        <f>FINPLAN_NEW!E7</f>
        <v>1189596.5707964862</v>
      </c>
      <c r="M38" s="178">
        <f>FINPLAN_NEW!F7</f>
        <v>1320023.3876441934</v>
      </c>
      <c r="N38" s="178">
        <f>FINPLAN_NEW!G7</f>
        <v>1380188.9849614729</v>
      </c>
      <c r="O38" s="178">
        <f>FINPLAN_NEW!H7</f>
        <v>1375154.6766480466</v>
      </c>
      <c r="P38" s="178">
        <f>FINPLAN_NEW!I7</f>
        <v>1531583.5505889708</v>
      </c>
      <c r="Q38" s="178">
        <f>FINPLAN_NEW!J7</f>
        <v>1672106.9163377502</v>
      </c>
      <c r="R38" s="178">
        <f>FINPLAN_NEW!K7</f>
        <v>1770007.352426969</v>
      </c>
      <c r="S38" s="178">
        <f>FINPLAN_NEW!L7</f>
        <v>1782536.2016780383</v>
      </c>
      <c r="T38" s="178">
        <f>FINPLAN_NEW!M7</f>
        <v>1795194.8213572125</v>
      </c>
      <c r="U38" s="178">
        <f>FINPLAN_NEW!N7</f>
        <v>1807984.5833333342</v>
      </c>
      <c r="V38" s="179">
        <f t="shared" si="6"/>
        <v>17967982.749011476</v>
      </c>
    </row>
    <row r="39" spans="3:22" ht="12" x14ac:dyDescent="0.2">
      <c r="D39" s="36" t="s">
        <v>142</v>
      </c>
      <c r="J39" s="178">
        <f>J37-J38</f>
        <v>356587.78147774911</v>
      </c>
      <c r="K39" s="178">
        <f t="shared" ref="K39:U39" si="7">K37-K38</f>
        <v>344806.51528325141</v>
      </c>
      <c r="L39" s="178">
        <f t="shared" si="7"/>
        <v>332903.42920351378</v>
      </c>
      <c r="M39" s="178">
        <f t="shared" si="7"/>
        <v>161476.61235580663</v>
      </c>
      <c r="N39" s="178">
        <f t="shared" si="7"/>
        <v>191311.01503852708</v>
      </c>
      <c r="O39" s="178">
        <f t="shared" si="7"/>
        <v>196345.32335195341</v>
      </c>
      <c r="P39" s="178">
        <f t="shared" si="7"/>
        <v>159916.44941102923</v>
      </c>
      <c r="Q39" s="178">
        <f t="shared" si="7"/>
        <v>159393.08366224985</v>
      </c>
      <c r="R39" s="178">
        <f t="shared" si="7"/>
        <v>61492.647573031019</v>
      </c>
      <c r="S39" s="178">
        <f t="shared" si="7"/>
        <v>48963.798321961658</v>
      </c>
      <c r="T39" s="178">
        <f t="shared" si="7"/>
        <v>36305.178642787505</v>
      </c>
      <c r="U39" s="178">
        <f t="shared" si="7"/>
        <v>23515.416666665813</v>
      </c>
      <c r="V39" s="179">
        <f t="shared" si="6"/>
        <v>2073017.2509885265</v>
      </c>
    </row>
    <row r="40" spans="3:22" ht="12" x14ac:dyDescent="0.2">
      <c r="D40" s="6" t="s">
        <v>82</v>
      </c>
      <c r="J40" s="178">
        <f>SUMIF($D$3:$D$33,$D$40,J3:J33)</f>
        <v>236250</v>
      </c>
      <c r="K40" s="178">
        <f>SUMIF($D$3:$D$33,$D$40,K3:K33)</f>
        <v>236250</v>
      </c>
      <c r="L40" s="178">
        <f t="shared" ref="L40:U40" si="8">SUMIF($D$3:$D$33,$D$40,L3:L33)</f>
        <v>236250</v>
      </c>
      <c r="M40" s="178">
        <f t="shared" si="8"/>
        <v>236250</v>
      </c>
      <c r="N40" s="178">
        <f t="shared" si="8"/>
        <v>351250</v>
      </c>
      <c r="O40" s="178">
        <f t="shared" si="8"/>
        <v>351250</v>
      </c>
      <c r="P40" s="178">
        <f t="shared" si="8"/>
        <v>351250</v>
      </c>
      <c r="Q40" s="178">
        <f t="shared" si="8"/>
        <v>351250</v>
      </c>
      <c r="R40" s="178">
        <f t="shared" si="8"/>
        <v>351250</v>
      </c>
      <c r="S40" s="178">
        <f t="shared" si="8"/>
        <v>351250</v>
      </c>
      <c r="T40" s="178">
        <f t="shared" si="8"/>
        <v>351250</v>
      </c>
      <c r="U40" s="178">
        <f t="shared" si="8"/>
        <v>351250</v>
      </c>
      <c r="V40" s="179">
        <f t="shared" si="6"/>
        <v>3755000</v>
      </c>
    </row>
    <row r="41" spans="3:22" ht="12" x14ac:dyDescent="0.2">
      <c r="D41" s="36" t="s">
        <v>32</v>
      </c>
      <c r="J41" s="178">
        <f ca="1">SUMIF($D$3:$D$35,$D$41,J3:J33)</f>
        <v>189000</v>
      </c>
      <c r="K41" s="178">
        <f t="shared" ref="K41:U41" ca="1" si="9">SUMIF($D$3:$D$35,$D$41,K3:K33)</f>
        <v>189000</v>
      </c>
      <c r="L41" s="178">
        <f t="shared" ca="1" si="9"/>
        <v>189000</v>
      </c>
      <c r="M41" s="178">
        <f t="shared" ca="1" si="9"/>
        <v>189000</v>
      </c>
      <c r="N41" s="178">
        <f t="shared" ca="1" si="9"/>
        <v>369000</v>
      </c>
      <c r="O41" s="178">
        <f t="shared" ca="1" si="9"/>
        <v>369000</v>
      </c>
      <c r="P41" s="178">
        <f t="shared" ca="1" si="9"/>
        <v>369000</v>
      </c>
      <c r="Q41" s="178">
        <f t="shared" ca="1" si="9"/>
        <v>369000</v>
      </c>
      <c r="R41" s="178">
        <f t="shared" ca="1" si="9"/>
        <v>369000</v>
      </c>
      <c r="S41" s="178">
        <f t="shared" ca="1" si="9"/>
        <v>369000</v>
      </c>
      <c r="T41" s="178">
        <f t="shared" ca="1" si="9"/>
        <v>369000</v>
      </c>
      <c r="U41" s="178">
        <f t="shared" ca="1" si="9"/>
        <v>369000</v>
      </c>
      <c r="V41" s="179">
        <f t="shared" ca="1" si="6"/>
        <v>3708000</v>
      </c>
    </row>
    <row r="42" spans="3:22" ht="12" x14ac:dyDescent="0.2">
      <c r="D42" s="36" t="s">
        <v>13</v>
      </c>
      <c r="J42" s="178">
        <f>SUMIF($D$3:$D$33,$D$42,J3:J33)</f>
        <v>68250</v>
      </c>
      <c r="K42" s="178">
        <f t="shared" ref="K42:U42" si="10">SUMIF($D$3:$D$33,$D$42,K3:K33)</f>
        <v>68250</v>
      </c>
      <c r="L42" s="178">
        <f t="shared" si="10"/>
        <v>68250</v>
      </c>
      <c r="M42" s="178">
        <f t="shared" si="10"/>
        <v>68250</v>
      </c>
      <c r="N42" s="178">
        <f t="shared" si="10"/>
        <v>68250</v>
      </c>
      <c r="O42" s="178">
        <f t="shared" si="10"/>
        <v>68250</v>
      </c>
      <c r="P42" s="178">
        <f t="shared" si="10"/>
        <v>68250</v>
      </c>
      <c r="Q42" s="178">
        <f t="shared" si="10"/>
        <v>68250</v>
      </c>
      <c r="R42" s="178">
        <f t="shared" si="10"/>
        <v>68250</v>
      </c>
      <c r="S42" s="178">
        <f t="shared" si="10"/>
        <v>68250</v>
      </c>
      <c r="T42" s="178">
        <f t="shared" si="10"/>
        <v>68250</v>
      </c>
      <c r="U42" s="178">
        <f t="shared" si="10"/>
        <v>68250</v>
      </c>
      <c r="V42" s="179">
        <f t="shared" si="6"/>
        <v>819000</v>
      </c>
    </row>
    <row r="43" spans="3:22" ht="12" x14ac:dyDescent="0.2">
      <c r="D43" s="6" t="s">
        <v>76</v>
      </c>
      <c r="J43" s="178">
        <f>J33</f>
        <v>35700</v>
      </c>
      <c r="K43" s="178">
        <f t="shared" ref="K43:U43" si="11">K33</f>
        <v>35700</v>
      </c>
      <c r="L43" s="178">
        <f t="shared" si="11"/>
        <v>35700</v>
      </c>
      <c r="M43" s="178">
        <f t="shared" si="11"/>
        <v>35700</v>
      </c>
      <c r="N43" s="178">
        <f t="shared" si="11"/>
        <v>35700</v>
      </c>
      <c r="O43" s="178">
        <f t="shared" si="11"/>
        <v>35700</v>
      </c>
      <c r="P43" s="178">
        <f t="shared" si="11"/>
        <v>35700</v>
      </c>
      <c r="Q43" s="178">
        <f t="shared" si="11"/>
        <v>35700</v>
      </c>
      <c r="R43" s="178">
        <f t="shared" si="11"/>
        <v>35700</v>
      </c>
      <c r="S43" s="178">
        <f t="shared" si="11"/>
        <v>35700</v>
      </c>
      <c r="T43" s="178">
        <f t="shared" si="11"/>
        <v>35700</v>
      </c>
      <c r="U43" s="178">
        <f t="shared" si="11"/>
        <v>35700</v>
      </c>
      <c r="V43" s="179">
        <f>SUM(J43:U43)</f>
        <v>428400</v>
      </c>
    </row>
    <row r="44" spans="3:22" s="180" customFormat="1" ht="12" x14ac:dyDescent="0.2">
      <c r="D44" s="57" t="s">
        <v>121</v>
      </c>
      <c r="E44" s="134"/>
      <c r="J44" s="179">
        <f ca="1">SUM(J38:J43)</f>
        <v>2051700</v>
      </c>
      <c r="K44" s="179">
        <f t="shared" ref="K44:U44" ca="1" si="12">SUM(K38:K43)</f>
        <v>2051700</v>
      </c>
      <c r="L44" s="179">
        <f t="shared" ca="1" si="12"/>
        <v>2051700</v>
      </c>
      <c r="M44" s="179">
        <f t="shared" ca="1" si="12"/>
        <v>2010700</v>
      </c>
      <c r="N44" s="179">
        <f t="shared" ca="1" si="12"/>
        <v>2395700</v>
      </c>
      <c r="O44" s="179">
        <f t="shared" ca="1" si="12"/>
        <v>2395700</v>
      </c>
      <c r="P44" s="179">
        <f t="shared" ca="1" si="12"/>
        <v>2515700</v>
      </c>
      <c r="Q44" s="179">
        <f t="shared" ca="1" si="12"/>
        <v>2655700</v>
      </c>
      <c r="R44" s="179">
        <f t="shared" ca="1" si="12"/>
        <v>2655700</v>
      </c>
      <c r="S44" s="179">
        <f t="shared" ca="1" si="12"/>
        <v>2655700</v>
      </c>
      <c r="T44" s="179">
        <f t="shared" ca="1" si="12"/>
        <v>2655700</v>
      </c>
      <c r="U44" s="179">
        <f t="shared" ca="1" si="12"/>
        <v>2655700</v>
      </c>
      <c r="V44" s="179">
        <f ca="1">SUM(V38:V43)</f>
        <v>28751400.000000004</v>
      </c>
    </row>
    <row r="48" spans="3:22" x14ac:dyDescent="0.2">
      <c r="J48" s="134">
        <f>225*12</f>
        <v>2700</v>
      </c>
    </row>
  </sheetData>
  <phoneticPr fontId="2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RESULTS_2022_2024</vt:lpstr>
      <vt:lpstr>FINPLAN_NEW</vt:lpstr>
      <vt:lpstr>FINPLAN_NEW (neg)</vt:lpstr>
      <vt:lpstr>Historical metrics</vt:lpstr>
      <vt:lpstr>Capacity planning</vt:lpstr>
      <vt:lpstr>Výnosy</vt:lpstr>
      <vt:lpstr>Přímé náklady</vt:lpstr>
      <vt:lpstr>Marketing</vt:lpstr>
      <vt:lpstr>PEREX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Nedvídek</dc:creator>
  <cp:lastModifiedBy>Stanislav Janeček</cp:lastModifiedBy>
  <dcterms:created xsi:type="dcterms:W3CDTF">2024-10-17T10:52:46Z</dcterms:created>
  <dcterms:modified xsi:type="dcterms:W3CDTF">2025-12-12T16:18:34Z</dcterms:modified>
</cp:coreProperties>
</file>